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1355" windowHeight="5130"/>
  </bookViews>
  <sheets>
    <sheet name="SIMULAÇÃO CARTEIRA DE AÇÕES" sheetId="2" r:id="rId1"/>
    <sheet name="BASE DE DADOS" sheetId="1" state="hidden" r:id="rId2"/>
    <sheet name="Plan3" sheetId="3" state="hidden" r:id="rId3"/>
    <sheet name="Ajuda" sheetId="4" r:id="rId4"/>
  </sheets>
  <definedNames>
    <definedName name="solver_adj" localSheetId="1" hidden="1">Plan3!$B$20:$C$20</definedName>
    <definedName name="solver_adj" localSheetId="2" hidden="1">Plan3!$B$16:$C$16</definedName>
    <definedName name="solver_cvg" localSheetId="1" hidden="1">0.0001</definedName>
    <definedName name="solver_cvg" localSheetId="2" hidden="1">0.0001</definedName>
    <definedName name="solver_drv" localSheetId="1" hidden="1">1</definedName>
    <definedName name="solver_drv" localSheetId="2" hidden="1">1</definedName>
    <definedName name="solver_est" localSheetId="1" hidden="1">1</definedName>
    <definedName name="solver_est" localSheetId="2" hidden="1">1</definedName>
    <definedName name="solver_itr" localSheetId="1" hidden="1">100</definedName>
    <definedName name="solver_itr" localSheetId="2" hidden="1">100</definedName>
    <definedName name="solver_lhs1" localSheetId="1" hidden="1">Plan3!$A$20</definedName>
    <definedName name="solver_lhs1" localSheetId="2" hidden="1">Plan3!$A$16</definedName>
    <definedName name="solver_lhs2" localSheetId="1" hidden="1">Plan3!$B$20</definedName>
    <definedName name="solver_lhs2" localSheetId="2" hidden="1">Plan3!$B$16:$C$16</definedName>
    <definedName name="solver_lhs3" localSheetId="1" hidden="1">Plan3!$C$20</definedName>
    <definedName name="solver_lhs3" localSheetId="2" hidden="1">Plan3!$D$16</definedName>
    <definedName name="solver_lhs4" localSheetId="2" hidden="1">Plan3!$D$16</definedName>
    <definedName name="solver_lhs5" localSheetId="2" hidden="1">Plan3!$E$16</definedName>
    <definedName name="solver_lin" localSheetId="1" hidden="1">2</definedName>
    <definedName name="solver_lin" localSheetId="2" hidden="1">2</definedName>
    <definedName name="solver_neg" localSheetId="1" hidden="1">2</definedName>
    <definedName name="solver_neg" localSheetId="2" hidden="1">2</definedName>
    <definedName name="solver_num" localSheetId="1" hidden="1">3</definedName>
    <definedName name="solver_num" localSheetId="2" hidden="1">2</definedName>
    <definedName name="solver_nwt" localSheetId="1" hidden="1">1</definedName>
    <definedName name="solver_nwt" localSheetId="2" hidden="1">1</definedName>
    <definedName name="solver_opt" localSheetId="1" hidden="1">Plan3!$E$20</definedName>
    <definedName name="solver_opt" localSheetId="2" hidden="1">Plan3!$E$16</definedName>
    <definedName name="solver_pre" localSheetId="1" hidden="1">0.000001</definedName>
    <definedName name="solver_pre" localSheetId="2" hidden="1">0.000001</definedName>
    <definedName name="solver_rel1" localSheetId="1" hidden="1">2</definedName>
    <definedName name="solver_rel1" localSheetId="2" hidden="1">2</definedName>
    <definedName name="solver_rel2" localSheetId="1" hidden="1">3</definedName>
    <definedName name="solver_rel2" localSheetId="2" hidden="1">3</definedName>
    <definedName name="solver_rel3" localSheetId="1" hidden="1">3</definedName>
    <definedName name="solver_rel3" localSheetId="2" hidden="1">3</definedName>
    <definedName name="solver_rel4" localSheetId="2" hidden="1">3</definedName>
    <definedName name="solver_rel5" localSheetId="2" hidden="1">1</definedName>
    <definedName name="solver_rhs1" localSheetId="1" hidden="1">1</definedName>
    <definedName name="solver_rhs1" localSheetId="2" hidden="1">1</definedName>
    <definedName name="solver_rhs2" localSheetId="1" hidden="1">0</definedName>
    <definedName name="solver_rhs2" localSheetId="2" hidden="1">0</definedName>
    <definedName name="solver_rhs3" localSheetId="1" hidden="1">0</definedName>
    <definedName name="solver_rhs3" localSheetId="2" hidden="1">0</definedName>
    <definedName name="solver_rhs4" localSheetId="2" hidden="1">0</definedName>
    <definedName name="solver_rhs5" localSheetId="2" hidden="1">Plan3!$C$10</definedName>
    <definedName name="solver_scl" localSheetId="1" hidden="1">2</definedName>
    <definedName name="solver_scl" localSheetId="2" hidden="1">2</definedName>
    <definedName name="solver_sho" localSheetId="1" hidden="1">2</definedName>
    <definedName name="solver_sho" localSheetId="2" hidden="1">2</definedName>
    <definedName name="solver_tim" localSheetId="1" hidden="1">100</definedName>
    <definedName name="solver_tim" localSheetId="2" hidden="1">100</definedName>
    <definedName name="solver_tol" localSheetId="1" hidden="1">0.05</definedName>
    <definedName name="solver_tol" localSheetId="2" hidden="1">0.05</definedName>
    <definedName name="solver_typ" localSheetId="1" hidden="1">2</definedName>
    <definedName name="solver_typ" localSheetId="2" hidden="1">2</definedName>
    <definedName name="solver_val" localSheetId="1" hidden="1">0</definedName>
    <definedName name="solver_val" localSheetId="2" hidden="1">0</definedName>
  </definedNames>
  <calcPr calcId="125725"/>
</workbook>
</file>

<file path=xl/calcChain.xml><?xml version="1.0" encoding="utf-8"?>
<calcChain xmlns="http://schemas.openxmlformats.org/spreadsheetml/2006/main">
  <c r="G23" i="1"/>
  <c r="H23" s="1"/>
  <c r="H21" i="2" s="1"/>
  <c r="B24" i="1"/>
  <c r="D24" s="1"/>
  <c r="B23"/>
  <c r="D23" s="1"/>
  <c r="G75" i="3"/>
  <c r="J101"/>
  <c r="K101"/>
  <c r="J102"/>
  <c r="K102"/>
  <c r="J103"/>
  <c r="K103"/>
  <c r="J104"/>
  <c r="K104"/>
  <c r="J94"/>
  <c r="K94" s="1"/>
  <c r="J95"/>
  <c r="K95" s="1"/>
  <c r="J96"/>
  <c r="K96" s="1"/>
  <c r="J97"/>
  <c r="K97" s="1"/>
  <c r="J98"/>
  <c r="K98" s="1"/>
  <c r="J99"/>
  <c r="K99" s="1"/>
  <c r="J100"/>
  <c r="K100" s="1"/>
  <c r="J51"/>
  <c r="J50" s="1"/>
  <c r="K51"/>
  <c r="J57"/>
  <c r="K57" s="1"/>
  <c r="J67"/>
  <c r="J66" s="1"/>
  <c r="J69"/>
  <c r="J70" s="1"/>
  <c r="K68"/>
  <c r="C25"/>
  <c r="D6" i="2"/>
  <c r="E11" s="1"/>
  <c r="B16" s="1"/>
  <c r="A20" s="1"/>
  <c r="D20" s="1"/>
  <c r="G20" s="1"/>
  <c r="A4" i="3"/>
  <c r="C4" s="1"/>
  <c r="H24" s="1"/>
  <c r="A3"/>
  <c r="D3" s="1"/>
  <c r="C6"/>
  <c r="C7"/>
  <c r="D7" i="2"/>
  <c r="E12" s="1"/>
  <c r="D7" i="3" s="1"/>
  <c r="C12" i="2"/>
  <c r="F12" s="1"/>
  <c r="G12" s="1"/>
  <c r="C17" s="1"/>
  <c r="C11"/>
  <c r="F11" s="1"/>
  <c r="G11" s="1"/>
  <c r="C16" s="1"/>
  <c r="C24" i="1" l="1"/>
  <c r="C23"/>
  <c r="E23" s="1"/>
  <c r="F23" s="1"/>
  <c r="F25" s="1"/>
  <c r="H20" i="2"/>
  <c r="J49" i="3"/>
  <c r="K50"/>
  <c r="J56"/>
  <c r="D4"/>
  <c r="J65"/>
  <c r="K66"/>
  <c r="K67"/>
  <c r="J71"/>
  <c r="J72" s="1"/>
  <c r="J73" s="1"/>
  <c r="K70"/>
  <c r="K69"/>
  <c r="K72"/>
  <c r="B4"/>
  <c r="C15" s="1"/>
  <c r="C19" s="1"/>
  <c r="L31" s="1"/>
  <c r="F3"/>
  <c r="G3" s="1"/>
  <c r="I1" s="1"/>
  <c r="F2"/>
  <c r="G2" s="1"/>
  <c r="H1" s="1"/>
  <c r="C3"/>
  <c r="H23" s="1"/>
  <c r="B3"/>
  <c r="H15" s="1"/>
  <c r="E7"/>
  <c r="B7"/>
  <c r="B17" i="2"/>
  <c r="A21" s="1"/>
  <c r="D21" s="1"/>
  <c r="G21" s="1"/>
  <c r="F7" i="3"/>
  <c r="E6"/>
  <c r="B6"/>
  <c r="F6"/>
  <c r="D6"/>
  <c r="F26" i="1" l="1"/>
  <c r="G25"/>
  <c r="H25"/>
  <c r="K49" i="3"/>
  <c r="J48"/>
  <c r="K56"/>
  <c r="J55"/>
  <c r="J64"/>
  <c r="K65"/>
  <c r="K71"/>
  <c r="G1"/>
  <c r="H3" s="1"/>
  <c r="I2" s="1"/>
  <c r="B17" s="1"/>
  <c r="B20" s="1"/>
  <c r="K32" s="1"/>
  <c r="I15"/>
  <c r="J74"/>
  <c r="K73"/>
  <c r="G4"/>
  <c r="I3" s="1"/>
  <c r="B15"/>
  <c r="B19" s="1"/>
  <c r="K31" s="1"/>
  <c r="F8"/>
  <c r="G7" s="1"/>
  <c r="D17" i="2" s="1"/>
  <c r="H26" i="1" l="1"/>
  <c r="G26"/>
  <c r="I23"/>
  <c r="H23" i="2" s="1"/>
  <c r="J47" i="3"/>
  <c r="K48"/>
  <c r="K55"/>
  <c r="J54"/>
  <c r="H2"/>
  <c r="J63"/>
  <c r="K64"/>
  <c r="J75"/>
  <c r="K74"/>
  <c r="B20" i="2"/>
  <c r="C17" i="3"/>
  <c r="D17" s="1" a="1"/>
  <c r="D17" s="1"/>
  <c r="H16"/>
  <c r="G6"/>
  <c r="G8" s="1"/>
  <c r="E25" l="1" a="1"/>
  <c r="E25" s="1"/>
  <c r="H29" a="1"/>
  <c r="I30" s="1"/>
  <c r="J46"/>
  <c r="K47"/>
  <c r="K54"/>
  <c r="J53"/>
  <c r="K63"/>
  <c r="J62"/>
  <c r="B23" i="2"/>
  <c r="M32" i="3"/>
  <c r="E17" a="1"/>
  <c r="E17" s="1"/>
  <c r="C20"/>
  <c r="E20" s="1" a="1"/>
  <c r="E20" s="1"/>
  <c r="B23" s="1"/>
  <c r="K7" s="1"/>
  <c r="J76"/>
  <c r="K75"/>
  <c r="B21" i="2"/>
  <c r="A20" i="3"/>
  <c r="H17"/>
  <c r="H29"/>
  <c r="I29"/>
  <c r="C9" a="1"/>
  <c r="C9" s="1"/>
  <c r="G16" i="2" s="1"/>
  <c r="C10" i="3" a="1"/>
  <c r="C10" s="1"/>
  <c r="G17" i="2" s="1"/>
  <c r="D16"/>
  <c r="H30" i="3" l="1"/>
  <c r="K46"/>
  <c r="K53"/>
  <c r="J52"/>
  <c r="K62"/>
  <c r="J61"/>
  <c r="D20" a="1"/>
  <c r="D20" s="1"/>
  <c r="B22" s="1"/>
  <c r="B24" i="2"/>
  <c r="N32" i="3"/>
  <c r="I16"/>
  <c r="L32"/>
  <c r="K76"/>
  <c r="J77"/>
  <c r="J23" a="1"/>
  <c r="K52" l="1"/>
  <c r="J60"/>
  <c r="K61"/>
  <c r="K77"/>
  <c r="J78"/>
  <c r="I17"/>
  <c r="H19" s="1"/>
  <c r="J16"/>
  <c r="J17" s="1"/>
  <c r="J23"/>
  <c r="J24"/>
  <c r="K78" l="1"/>
  <c r="J79"/>
  <c r="J59"/>
  <c r="K60"/>
  <c r="H20"/>
  <c r="J25"/>
  <c r="K23" s="1"/>
  <c r="K26" s="1"/>
  <c r="K33" s="1"/>
  <c r="J80" l="1"/>
  <c r="K79"/>
  <c r="J58"/>
  <c r="K58" s="1"/>
  <c r="K59"/>
  <c r="E20" i="2"/>
  <c r="K35" i="3"/>
  <c r="K24"/>
  <c r="L26" s="1"/>
  <c r="J81" l="1"/>
  <c r="K80"/>
  <c r="B16"/>
  <c r="N26" a="1"/>
  <c r="N26" s="1"/>
  <c r="L33"/>
  <c r="M26"/>
  <c r="M33" s="1"/>
  <c r="L46" l="1"/>
  <c r="L96"/>
  <c r="L95"/>
  <c r="L101"/>
  <c r="L51"/>
  <c r="L94"/>
  <c r="L104"/>
  <c r="L50"/>
  <c r="L56"/>
  <c r="L54"/>
  <c r="L48"/>
  <c r="L100"/>
  <c r="L99"/>
  <c r="L103"/>
  <c r="L57"/>
  <c r="L98"/>
  <c r="L97"/>
  <c r="L102"/>
  <c r="L49"/>
  <c r="L55"/>
  <c r="L47"/>
  <c r="L53"/>
  <c r="L52"/>
  <c r="J82"/>
  <c r="K81"/>
  <c r="L59"/>
  <c r="L61"/>
  <c r="L63"/>
  <c r="L65"/>
  <c r="L67"/>
  <c r="L81"/>
  <c r="L80"/>
  <c r="L58"/>
  <c r="L60"/>
  <c r="L62"/>
  <c r="L64"/>
  <c r="L66"/>
  <c r="L79"/>
  <c r="E23" i="2"/>
  <c r="L68" i="3"/>
  <c r="L70"/>
  <c r="L72"/>
  <c r="L74"/>
  <c r="L76"/>
  <c r="L78"/>
  <c r="L69"/>
  <c r="L71"/>
  <c r="L73"/>
  <c r="L75"/>
  <c r="L77"/>
  <c r="E21" i="2"/>
  <c r="L35" i="3"/>
  <c r="C22"/>
  <c r="D25" s="1" a="1"/>
  <c r="D25" s="1"/>
  <c r="C23"/>
  <c r="N33"/>
  <c r="C16"/>
  <c r="A16" s="1"/>
  <c r="H75" l="1"/>
  <c r="E16" a="1"/>
  <c r="E16" s="1"/>
  <c r="D16"/>
  <c r="J83"/>
  <c r="K82"/>
  <c r="L82" s="1"/>
  <c r="E24" i="2"/>
  <c r="M35" i="3" a="1"/>
  <c r="M35" s="1"/>
  <c r="N35" a="1"/>
  <c r="N35" s="1"/>
  <c r="N37" s="1"/>
  <c r="M53" l="1"/>
  <c r="J23" i="1"/>
  <c r="H24" i="2" s="1"/>
  <c r="M104" i="3"/>
  <c r="M96"/>
  <c r="M88"/>
  <c r="M80"/>
  <c r="M72"/>
  <c r="M64"/>
  <c r="M56"/>
  <c r="M48"/>
  <c r="M99"/>
  <c r="M91"/>
  <c r="M83"/>
  <c r="M75"/>
  <c r="M67"/>
  <c r="M59"/>
  <c r="M51"/>
  <c r="M102"/>
  <c r="M94"/>
  <c r="M86"/>
  <c r="M78"/>
  <c r="M70"/>
  <c r="M62"/>
  <c r="M54"/>
  <c r="M46"/>
  <c r="M97"/>
  <c r="M89"/>
  <c r="M81"/>
  <c r="M73"/>
  <c r="M65"/>
  <c r="M57"/>
  <c r="M49"/>
  <c r="M100"/>
  <c r="M92"/>
  <c r="M84"/>
  <c r="M76"/>
  <c r="M68"/>
  <c r="M60"/>
  <c r="M52"/>
  <c r="M103"/>
  <c r="M95"/>
  <c r="M87"/>
  <c r="M79"/>
  <c r="M71"/>
  <c r="M63"/>
  <c r="M55"/>
  <c r="M47"/>
  <c r="M98"/>
  <c r="M90"/>
  <c r="M82"/>
  <c r="M74"/>
  <c r="M66"/>
  <c r="M58"/>
  <c r="M50"/>
  <c r="M101"/>
  <c r="M93"/>
  <c r="M85"/>
  <c r="M77"/>
  <c r="M69"/>
  <c r="M61"/>
  <c r="J84"/>
  <c r="K83"/>
  <c r="L83" s="1"/>
  <c r="I75" l="1"/>
  <c r="J85"/>
  <c r="K84"/>
  <c r="J86" l="1"/>
  <c r="K85"/>
  <c r="L85" s="1"/>
  <c r="L84"/>
  <c r="J87" l="1"/>
  <c r="K86"/>
  <c r="L86" s="1"/>
  <c r="J88" l="1"/>
  <c r="K87"/>
  <c r="L87" s="1"/>
  <c r="J89" l="1"/>
  <c r="K88"/>
  <c r="L88" s="1"/>
  <c r="K89" l="1"/>
  <c r="J90"/>
  <c r="L89"/>
  <c r="K90" l="1"/>
  <c r="J91"/>
  <c r="L90"/>
  <c r="K91" l="1"/>
  <c r="J92"/>
  <c r="L91"/>
  <c r="K92" l="1"/>
  <c r="J93"/>
  <c r="L92"/>
  <c r="K93" l="1"/>
  <c r="L93"/>
</calcChain>
</file>

<file path=xl/sharedStrings.xml><?xml version="1.0" encoding="utf-8"?>
<sst xmlns="http://schemas.openxmlformats.org/spreadsheetml/2006/main" count="125" uniqueCount="50">
  <si>
    <t>CEBR6</t>
  </si>
  <si>
    <t>RCSL3</t>
  </si>
  <si>
    <t>PETR4</t>
  </si>
  <si>
    <t>BOBR4</t>
  </si>
  <si>
    <t>VIVO3</t>
  </si>
  <si>
    <t>ALPA3</t>
  </si>
  <si>
    <t>VALE5</t>
  </si>
  <si>
    <t>RETORNO</t>
  </si>
  <si>
    <t>RISCO</t>
  </si>
  <si>
    <t>A</t>
  </si>
  <si>
    <t>B</t>
  </si>
  <si>
    <t>C</t>
  </si>
  <si>
    <t>D</t>
  </si>
  <si>
    <t>E</t>
  </si>
  <si>
    <t>F</t>
  </si>
  <si>
    <t>G</t>
  </si>
  <si>
    <t>VaR</t>
  </si>
  <si>
    <t>VaR NÃO DIV</t>
  </si>
  <si>
    <t>CART_MR</t>
  </si>
  <si>
    <t>GANHO</t>
  </si>
  <si>
    <t>BASE DE DADOS DOS ATIVOS</t>
  </si>
  <si>
    <t>MATRIZ DE COVARIÂNCIAS</t>
  </si>
  <si>
    <t>ATIVO 1</t>
  </si>
  <si>
    <t>ATIVO 2</t>
  </si>
  <si>
    <t>* Coloque a letra correspondente em cada célula.</t>
  </si>
  <si>
    <r>
      <t xml:space="preserve">PASSO 1 - ESCOLHA AS AÇÕES: </t>
    </r>
    <r>
      <rPr>
        <b/>
        <sz val="11"/>
        <rFont val="Calibri"/>
        <family val="2"/>
        <scheme val="minor"/>
      </rPr>
      <t>SELECIONE PELA LETRA CORRESPONDENTE AO CÓDIGO DO ATIVO (carteira para 2 ativos)</t>
    </r>
  </si>
  <si>
    <t>QUANTIDADE DO ATIVO</t>
  </si>
  <si>
    <t>ÚLTIMA COTAÇÃO</t>
  </si>
  <si>
    <t>INVESTIMENTO</t>
  </si>
  <si>
    <r>
      <t xml:space="preserve">PASSO 2 - QUANTIDADE DE AÇÕES: </t>
    </r>
    <r>
      <rPr>
        <b/>
        <sz val="11"/>
        <rFont val="Calibri"/>
        <family val="2"/>
        <scheme val="minor"/>
      </rPr>
      <t>INFORME A QUANTIDADE DE AÇÕES QUE DESEJA ADQUIRIR</t>
    </r>
  </si>
  <si>
    <t>RETORNO E RISCO DA CARTEIRA SELECIONADA</t>
  </si>
  <si>
    <t>VALOR INVESTIDO</t>
  </si>
  <si>
    <t>%</t>
  </si>
  <si>
    <r>
      <t xml:space="preserve">CARTEIRA SUGERIDA </t>
    </r>
    <r>
      <rPr>
        <b/>
        <sz val="11"/>
        <color rgb="FF002060"/>
        <rFont val="Calibri"/>
        <family val="2"/>
        <scheme val="minor"/>
      </rPr>
      <t>INSTTUTO ASSAF</t>
    </r>
  </si>
  <si>
    <t>WA</t>
  </si>
  <si>
    <t>WB</t>
  </si>
  <si>
    <t>R - RF</t>
  </si>
  <si>
    <t>MATRIZ INVERSA</t>
  </si>
  <si>
    <t>ZA</t>
  </si>
  <si>
    <t>ZB</t>
  </si>
  <si>
    <t>RET</t>
  </si>
  <si>
    <t>RISK FREE</t>
  </si>
  <si>
    <t>OTIMA</t>
  </si>
  <si>
    <t>MEDIA</t>
  </si>
  <si>
    <t>COVARIÂNCIAS</t>
  </si>
  <si>
    <t>MODERADA</t>
  </si>
  <si>
    <t>CONSERVADORA</t>
  </si>
  <si>
    <t>AGRESSIVA</t>
  </si>
  <si>
    <t>W</t>
  </si>
  <si>
    <r>
      <rPr>
        <b/>
        <sz val="11"/>
        <color rgb="FFFF0000"/>
        <rFont val="Calibri"/>
        <family val="2"/>
        <scheme val="minor"/>
      </rPr>
      <t xml:space="preserve">Atenção : </t>
    </r>
    <r>
      <rPr>
        <sz val="11"/>
        <color theme="1"/>
        <rFont val="Calibri"/>
        <family val="2"/>
        <scheme val="minor"/>
      </rPr>
      <t xml:space="preserve"> para abrir o arquivo de ajuda clique 2 vezes sobre o texto abaixo.</t>
    </r>
  </si>
</sst>
</file>

<file path=xl/styles.xml><?xml version="1.0" encoding="utf-8"?>
<styleSheet xmlns="http://schemas.openxmlformats.org/spreadsheetml/2006/main">
  <numFmts count="5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%"/>
    <numFmt numFmtId="167" formatCode="0.000%"/>
    <numFmt numFmtId="168" formatCode="_(* #,##0.000000_);_(* \(#,##0.0000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4">
    <xf numFmtId="0" fontId="0" fillId="0" borderId="0" xfId="0"/>
    <xf numFmtId="10" fontId="0" fillId="0" borderId="0" xfId="2" applyNumberFormat="1" applyFont="1"/>
    <xf numFmtId="0" fontId="0" fillId="0" borderId="4" xfId="0" applyBorder="1"/>
    <xf numFmtId="0" fontId="3" fillId="0" borderId="0" xfId="0" applyFont="1" applyFill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0" fillId="0" borderId="8" xfId="0" applyBorder="1"/>
    <xf numFmtId="0" fontId="0" fillId="0" borderId="0" xfId="0" applyBorder="1"/>
    <xf numFmtId="164" fontId="0" fillId="0" borderId="0" xfId="0" applyNumberFormat="1" applyBorder="1"/>
    <xf numFmtId="164" fontId="0" fillId="0" borderId="0" xfId="1" applyFont="1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164" fontId="0" fillId="0" borderId="9" xfId="0" applyNumberFormat="1" applyBorder="1"/>
    <xf numFmtId="10" fontId="0" fillId="0" borderId="0" xfId="2" applyNumberFormat="1" applyFont="1" applyBorder="1"/>
    <xf numFmtId="0" fontId="3" fillId="0" borderId="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2" xfId="0" applyFill="1" applyBorder="1"/>
    <xf numFmtId="0" fontId="3" fillId="2" borderId="14" xfId="0" applyFont="1" applyFill="1" applyBorder="1"/>
    <xf numFmtId="0" fontId="3" fillId="2" borderId="15" xfId="0" applyFont="1" applyFill="1" applyBorder="1"/>
    <xf numFmtId="164" fontId="0" fillId="0" borderId="0" xfId="1" applyFont="1" applyBorder="1" applyAlignment="1">
      <alignment horizontal="center"/>
    </xf>
    <xf numFmtId="9" fontId="0" fillId="0" borderId="0" xfId="0" applyNumberFormat="1"/>
    <xf numFmtId="10" fontId="0" fillId="0" borderId="0" xfId="0" applyNumberFormat="1" applyBorder="1"/>
    <xf numFmtId="167" fontId="0" fillId="0" borderId="0" xfId="2" applyNumberFormat="1" applyFont="1" applyBorder="1"/>
    <xf numFmtId="9" fontId="0" fillId="0" borderId="8" xfId="0" applyNumberFormat="1" applyBorder="1"/>
    <xf numFmtId="10" fontId="0" fillId="0" borderId="0" xfId="0" applyNumberFormat="1"/>
    <xf numFmtId="167" fontId="0" fillId="0" borderId="0" xfId="0" applyNumberFormat="1"/>
    <xf numFmtId="164" fontId="0" fillId="0" borderId="0" xfId="1" applyFont="1"/>
    <xf numFmtId="164" fontId="0" fillId="0" borderId="0" xfId="0" applyNumberFormat="1"/>
    <xf numFmtId="168" fontId="0" fillId="0" borderId="0" xfId="3" applyNumberFormat="1" applyFont="1"/>
    <xf numFmtId="9" fontId="0" fillId="0" borderId="0" xfId="2" applyFont="1"/>
    <xf numFmtId="166" fontId="0" fillId="0" borderId="0" xfId="2" applyNumberFormat="1" applyFont="1"/>
    <xf numFmtId="166" fontId="0" fillId="0" borderId="0" xfId="0" applyNumberFormat="1"/>
    <xf numFmtId="0" fontId="0" fillId="4" borderId="11" xfId="0" applyFill="1" applyBorder="1" applyAlignment="1" applyProtection="1">
      <alignment horizontal="center"/>
      <protection locked="0"/>
    </xf>
    <xf numFmtId="0" fontId="0" fillId="6" borderId="11" xfId="0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2" fillId="2" borderId="13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0" fillId="0" borderId="11" xfId="0" applyBorder="1" applyProtection="1"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11" xfId="0" applyFill="1" applyBorder="1" applyAlignment="1" applyProtection="1">
      <alignment horizontal="center"/>
      <protection hidden="1"/>
    </xf>
    <xf numFmtId="0" fontId="0" fillId="5" borderId="11" xfId="0" applyFill="1" applyBorder="1" applyProtection="1">
      <protection hidden="1"/>
    </xf>
    <xf numFmtId="164" fontId="0" fillId="5" borderId="11" xfId="1" applyFont="1" applyFill="1" applyBorder="1" applyAlignment="1" applyProtection="1">
      <alignment horizontal="center"/>
      <protection hidden="1"/>
    </xf>
    <xf numFmtId="164" fontId="0" fillId="5" borderId="11" xfId="0" applyNumberFormat="1" applyFill="1" applyBorder="1" applyProtection="1">
      <protection hidden="1"/>
    </xf>
    <xf numFmtId="164" fontId="0" fillId="0" borderId="11" xfId="0" applyNumberFormat="1" applyBorder="1" applyProtection="1">
      <protection hidden="1"/>
    </xf>
    <xf numFmtId="166" fontId="0" fillId="0" borderId="11" xfId="2" applyNumberFormat="1" applyFont="1" applyBorder="1" applyAlignment="1" applyProtection="1">
      <alignment horizontal="center"/>
      <protection hidden="1"/>
    </xf>
    <xf numFmtId="0" fontId="0" fillId="0" borderId="13" xfId="0" applyBorder="1" applyProtection="1">
      <protection hidden="1"/>
    </xf>
    <xf numFmtId="10" fontId="0" fillId="0" borderId="1" xfId="0" applyNumberFormat="1" applyBorder="1" applyProtection="1">
      <protection hidden="1"/>
    </xf>
    <xf numFmtId="10" fontId="0" fillId="0" borderId="1" xfId="0" applyNumberFormat="1" applyBorder="1" applyAlignment="1" applyProtection="1">
      <alignment horizontal="center"/>
      <protection hidden="1"/>
    </xf>
    <xf numFmtId="0" fontId="0" fillId="3" borderId="0" xfId="0" applyFill="1" applyProtection="1"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4">
    <cellStyle name="Moeda" xfId="1" builtinId="4"/>
    <cellStyle name="Normal" xfId="0" builtinId="0"/>
    <cellStyle name="Porcentagem" xfId="2" builtinId="5"/>
    <cellStyle name="Separador de milhares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scatterChart>
        <c:scatterStyle val="smoothMarker"/>
        <c:ser>
          <c:idx val="0"/>
          <c:order val="0"/>
          <c:tx>
            <c:strRef>
              <c:f>'SIMULAÇÃO CARTEIRA DE AÇÕES'!$D$6</c:f>
              <c:strCache>
                <c:ptCount val="1"/>
                <c:pt idx="0">
                  <c:v>CEBR6</c:v>
                </c:pt>
              </c:strCache>
            </c:strRef>
          </c:tx>
          <c:xVal>
            <c:numRef>
              <c:f>Plan3!$D$3</c:f>
              <c:numCache>
                <c:formatCode>0.00%</c:formatCode>
                <c:ptCount val="1"/>
                <c:pt idx="0">
                  <c:v>7.4289999999999995E-2</c:v>
                </c:pt>
              </c:numCache>
            </c:numRef>
          </c:xVal>
          <c:yVal>
            <c:numRef>
              <c:f>Plan3!$C$3</c:f>
              <c:numCache>
                <c:formatCode>0.00%</c:formatCode>
                <c:ptCount val="1"/>
                <c:pt idx="0">
                  <c:v>2.7230000000000001E-2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'SIMULAÇÃO CARTEIRA DE AÇÕES'!$D$7</c:f>
              <c:strCache>
                <c:ptCount val="1"/>
                <c:pt idx="0">
                  <c:v>RCSL3</c:v>
                </c:pt>
              </c:strCache>
            </c:strRef>
          </c:tx>
          <c:xVal>
            <c:numRef>
              <c:f>Plan3!$D$4</c:f>
              <c:numCache>
                <c:formatCode>0.00%</c:formatCode>
                <c:ptCount val="1"/>
                <c:pt idx="0">
                  <c:v>6.1859999999999998E-2</c:v>
                </c:pt>
              </c:numCache>
            </c:numRef>
          </c:xVal>
          <c:yVal>
            <c:numRef>
              <c:f>Plan3!$C$4</c:f>
              <c:numCache>
                <c:formatCode>0.00%</c:formatCode>
                <c:ptCount val="1"/>
                <c:pt idx="0">
                  <c:v>1.328E-2</c:v>
                </c:pt>
              </c:numCache>
            </c:numRef>
          </c:yVal>
          <c:smooth val="1"/>
        </c:ser>
        <c:ser>
          <c:idx val="2"/>
          <c:order val="2"/>
          <c:tx>
            <c:v>FRONTEIRA EFICIENTE</c:v>
          </c:tx>
          <c:spPr>
            <a:ln>
              <a:solidFill>
                <a:schemeClr val="accent3"/>
              </a:solidFill>
            </a:ln>
          </c:spPr>
          <c:marker>
            <c:symbol val="triangle"/>
            <c:size val="2"/>
          </c:marker>
          <c:xVal>
            <c:numRef>
              <c:f>Plan3!$M$46:$M$104</c:f>
              <c:numCache>
                <c:formatCode>0.00%</c:formatCode>
                <c:ptCount val="59"/>
                <c:pt idx="0">
                  <c:v>7.5473938892656217E-2</c:v>
                </c:pt>
                <c:pt idx="1">
                  <c:v>7.3943003900945561E-2</c:v>
                </c:pt>
                <c:pt idx="2">
                  <c:v>7.2429843742117833E-2</c:v>
                </c:pt>
                <c:pt idx="3">
                  <c:v>7.0935595914952757E-2</c:v>
                </c:pt>
                <c:pt idx="4">
                  <c:v>6.9461480950241933E-2</c:v>
                </c:pt>
                <c:pt idx="5">
                  <c:v>6.800880802132675E-2</c:v>
                </c:pt>
                <c:pt idx="6">
                  <c:v>6.657898066095666E-2</c:v>
                </c:pt>
                <c:pt idx="7">
                  <c:v>6.5173502498422672E-2</c:v>
                </c:pt>
                <c:pt idx="8">
                  <c:v>6.3793982903258772E-2</c:v>
                </c:pt>
                <c:pt idx="9">
                  <c:v>6.2442142388775705E-2</c:v>
                </c:pt>
                <c:pt idx="10">
                  <c:v>6.1119817589947938E-2</c:v>
                </c:pt>
                <c:pt idx="11">
                  <c:v>5.9828965585628967E-2</c:v>
                </c:pt>
                <c:pt idx="12">
                  <c:v>5.8571667285076942E-2</c:v>
                </c:pt>
                <c:pt idx="13">
                  <c:v>5.7350129544322968E-2</c:v>
                </c:pt>
                <c:pt idx="14">
                  <c:v>5.6166685620899888E-2</c:v>
                </c:pt>
                <c:pt idx="15">
                  <c:v>5.5023793518921255E-2</c:v>
                </c:pt>
                <c:pt idx="16">
                  <c:v>5.3924031724994957E-2</c:v>
                </c:pt>
                <c:pt idx="17">
                  <c:v>5.2870091795202537E-2</c:v>
                </c:pt>
                <c:pt idx="18">
                  <c:v>5.1864767232462597E-2</c:v>
                </c:pt>
                <c:pt idx="19">
                  <c:v>5.0910938101859933E-2</c:v>
                </c:pt>
                <c:pt idx="20">
                  <c:v>5.001155088011968E-2</c:v>
                </c:pt>
                <c:pt idx="21">
                  <c:v>4.9169593135877078E-2</c:v>
                </c:pt>
                <c:pt idx="22">
                  <c:v>4.838806280013782E-2</c:v>
                </c:pt>
                <c:pt idx="23">
                  <c:v>4.766993201843249E-2</c:v>
                </c:pt>
                <c:pt idx="24">
                  <c:v>4.7018105878728997E-2</c:v>
                </c:pt>
                <c:pt idx="25">
                  <c:v>4.6435376674409209E-2</c:v>
                </c:pt>
                <c:pt idx="26">
                  <c:v>4.5924374770427372E-2</c:v>
                </c:pt>
                <c:pt idx="27">
                  <c:v>4.5487517561464783E-2</c:v>
                </c:pt>
                <c:pt idx="28">
                  <c:v>4.5126958400095722E-2</c:v>
                </c:pt>
                <c:pt idx="29">
                  <c:v>4.484453767933029E-2</c:v>
                </c:pt>
                <c:pt idx="30">
                  <c:v>4.464173842483378E-2</c:v>
                </c:pt>
                <c:pt idx="31">
                  <c:v>4.4519648742989755E-2</c:v>
                </c:pt>
                <c:pt idx="32">
                  <c:v>4.4478933254930915E-2</c:v>
                </c:pt>
                <c:pt idx="33">
                  <c:v>4.4519815222926425E-2</c:v>
                </c:pt>
                <c:pt idx="34">
                  <c:v>4.4642070473488629E-2</c:v>
                </c:pt>
                <c:pt idx="35">
                  <c:v>4.4845033498993409E-2</c:v>
                </c:pt>
                <c:pt idx="36">
                  <c:v>4.5127615354472905E-2</c:v>
                </c:pt>
                <c:pt idx="37">
                  <c:v>4.5488332243842251E-2</c:v>
                </c:pt>
                <c:pt idx="38">
                  <c:v>4.592534308810986E-2</c:v>
                </c:pt>
                <c:pt idx="39">
                  <c:v>4.6436493944790061E-2</c:v>
                </c:pt>
                <c:pt idx="40">
                  <c:v>4.7019366932126473E-2</c:v>
                </c:pt>
                <c:pt idx="41">
                  <c:v>4.7671331303005132E-2</c:v>
                </c:pt>
                <c:pt idx="42">
                  <c:v>4.8389594484695826E-2</c:v>
                </c:pt>
                <c:pt idx="43">
                  <c:v>4.9171251207135593E-2</c:v>
                </c:pt>
                <c:pt idx="44">
                  <c:v>5.0013329231782477E-2</c:v>
                </c:pt>
                <c:pt idx="45">
                  <c:v>5.091283061378149E-2</c:v>
                </c:pt>
                <c:pt idx="46">
                  <c:v>5.1866767838935561E-2</c:v>
                </c:pt>
                <c:pt idx="47">
                  <c:v>5.2872194542102936E-2</c:v>
                </c:pt>
                <c:pt idx="48">
                  <c:v>5.392623081606409E-2</c:v>
                </c:pt>
                <c:pt idx="49">
                  <c:v>5.5026083351864721E-2</c:v>
                </c:pt>
                <c:pt idx="50">
                  <c:v>5.6169060814249015E-2</c:v>
                </c:pt>
                <c:pt idx="51">
                  <c:v>5.7352584956153023E-2</c:v>
                </c:pt>
                <c:pt idx="52">
                  <c:v>5.8574198024729206E-2</c:v>
                </c:pt>
                <c:pt idx="53">
                  <c:v>5.983156701956871E-2</c:v>
                </c:pt>
                <c:pt idx="54">
                  <c:v>6.1122485342822885E-2</c:v>
                </c:pt>
                <c:pt idx="55">
                  <c:v>6.2444872340645871E-2</c:v>
                </c:pt>
                <c:pt idx="56">
                  <c:v>6.3796771183853879E-2</c:v>
                </c:pt>
                <c:pt idx="57">
                  <c:v>6.5176345479168812E-2</c:v>
                </c:pt>
                <c:pt idx="58">
                  <c:v>6.658187494539651E-2</c:v>
                </c:pt>
              </c:numCache>
            </c:numRef>
          </c:xVal>
          <c:yVal>
            <c:numRef>
              <c:f>Plan3!$L$46:$L$104</c:f>
              <c:numCache>
                <c:formatCode>0.000%</c:formatCode>
                <c:ptCount val="59"/>
                <c:pt idx="0">
                  <c:v>2.7430306078692707E-2</c:v>
                </c:pt>
                <c:pt idx="1">
                  <c:v>2.7170965444724679E-2</c:v>
                </c:pt>
                <c:pt idx="2">
                  <c:v>2.6911624810756658E-2</c:v>
                </c:pt>
                <c:pt idx="3">
                  <c:v>2.6652284176788631E-2</c:v>
                </c:pt>
                <c:pt idx="4">
                  <c:v>2.639294354282061E-2</c:v>
                </c:pt>
                <c:pt idx="5">
                  <c:v>2.6133602908852575E-2</c:v>
                </c:pt>
                <c:pt idx="6">
                  <c:v>2.5874262274884562E-2</c:v>
                </c:pt>
                <c:pt idx="7">
                  <c:v>2.561492164091653E-2</c:v>
                </c:pt>
                <c:pt idx="8">
                  <c:v>2.535558100694852E-2</c:v>
                </c:pt>
                <c:pt idx="9">
                  <c:v>2.5096240372980482E-2</c:v>
                </c:pt>
                <c:pt idx="10">
                  <c:v>2.4836899739012468E-2</c:v>
                </c:pt>
                <c:pt idx="11">
                  <c:v>2.457755910504443E-2</c:v>
                </c:pt>
                <c:pt idx="12">
                  <c:v>2.431821847107642E-2</c:v>
                </c:pt>
                <c:pt idx="13">
                  <c:v>2.4058877837108392E-2</c:v>
                </c:pt>
                <c:pt idx="14">
                  <c:v>2.3799537203140365E-2</c:v>
                </c:pt>
                <c:pt idx="15">
                  <c:v>2.3540196569172347E-2</c:v>
                </c:pt>
                <c:pt idx="16">
                  <c:v>2.3280855935204327E-2</c:v>
                </c:pt>
                <c:pt idx="17">
                  <c:v>2.3021515301236299E-2</c:v>
                </c:pt>
                <c:pt idx="18">
                  <c:v>2.2762174667268271E-2</c:v>
                </c:pt>
                <c:pt idx="19">
                  <c:v>2.2502834033300251E-2</c:v>
                </c:pt>
                <c:pt idx="20">
                  <c:v>2.2243493399332227E-2</c:v>
                </c:pt>
                <c:pt idx="21">
                  <c:v>2.1984152765364209E-2</c:v>
                </c:pt>
                <c:pt idx="22">
                  <c:v>2.1724812131396182E-2</c:v>
                </c:pt>
                <c:pt idx="23">
                  <c:v>2.1465471497428158E-2</c:v>
                </c:pt>
                <c:pt idx="24">
                  <c:v>2.1206130863460137E-2</c:v>
                </c:pt>
                <c:pt idx="25">
                  <c:v>2.0946790229492113E-2</c:v>
                </c:pt>
                <c:pt idx="26">
                  <c:v>2.0687449595524088E-2</c:v>
                </c:pt>
                <c:pt idx="27">
                  <c:v>2.0428108961556064E-2</c:v>
                </c:pt>
                <c:pt idx="28">
                  <c:v>2.0168768327588044E-2</c:v>
                </c:pt>
                <c:pt idx="29">
                  <c:v>1.9909427693620016E-2</c:v>
                </c:pt>
                <c:pt idx="30">
                  <c:v>1.9650087059651995E-2</c:v>
                </c:pt>
                <c:pt idx="31">
                  <c:v>1.9390746425683971E-2</c:v>
                </c:pt>
                <c:pt idx="32">
                  <c:v>1.9131405791715943E-2</c:v>
                </c:pt>
                <c:pt idx="33">
                  <c:v>1.8872065157747926E-2</c:v>
                </c:pt>
                <c:pt idx="34">
                  <c:v>1.8612724523779902E-2</c:v>
                </c:pt>
                <c:pt idx="35">
                  <c:v>1.8353383889811874E-2</c:v>
                </c:pt>
                <c:pt idx="36">
                  <c:v>1.809404325584385E-2</c:v>
                </c:pt>
                <c:pt idx="37">
                  <c:v>1.7834702621875829E-2</c:v>
                </c:pt>
                <c:pt idx="38">
                  <c:v>1.7575361987907805E-2</c:v>
                </c:pt>
                <c:pt idx="39">
                  <c:v>1.7316021353939785E-2</c:v>
                </c:pt>
                <c:pt idx="40">
                  <c:v>1.7056680719971757E-2</c:v>
                </c:pt>
                <c:pt idx="41">
                  <c:v>1.6797340086003733E-2</c:v>
                </c:pt>
                <c:pt idx="42">
                  <c:v>1.6537999452035709E-2</c:v>
                </c:pt>
                <c:pt idx="43">
                  <c:v>1.6278658818067688E-2</c:v>
                </c:pt>
                <c:pt idx="44">
                  <c:v>1.6019318184099664E-2</c:v>
                </c:pt>
                <c:pt idx="45">
                  <c:v>1.5759977550131643E-2</c:v>
                </c:pt>
                <c:pt idx="46">
                  <c:v>1.5500636916163615E-2</c:v>
                </c:pt>
                <c:pt idx="47">
                  <c:v>1.5241296282195588E-2</c:v>
                </c:pt>
                <c:pt idx="48">
                  <c:v>1.4981955648227567E-2</c:v>
                </c:pt>
                <c:pt idx="49">
                  <c:v>1.4722615014259539E-2</c:v>
                </c:pt>
                <c:pt idx="50">
                  <c:v>1.4463274380291526E-2</c:v>
                </c:pt>
                <c:pt idx="51">
                  <c:v>1.4203933746323498E-2</c:v>
                </c:pt>
                <c:pt idx="52">
                  <c:v>1.3944593112355477E-2</c:v>
                </c:pt>
                <c:pt idx="53">
                  <c:v>1.368525247838745E-2</c:v>
                </c:pt>
                <c:pt idx="54">
                  <c:v>1.3425911844419429E-2</c:v>
                </c:pt>
                <c:pt idx="55">
                  <c:v>1.3166571210451408E-2</c:v>
                </c:pt>
                <c:pt idx="56">
                  <c:v>1.2907230576483381E-2</c:v>
                </c:pt>
                <c:pt idx="57">
                  <c:v>1.2647889942515353E-2</c:v>
                </c:pt>
                <c:pt idx="58">
                  <c:v>1.2388549308547332E-2</c:v>
                </c:pt>
              </c:numCache>
            </c:numRef>
          </c:yVal>
          <c:smooth val="1"/>
        </c:ser>
        <c:ser>
          <c:idx val="3"/>
          <c:order val="3"/>
          <c:tx>
            <c:v>CARTEIRA CONSERVADORA</c:v>
          </c:tx>
          <c:xVal>
            <c:numRef>
              <c:f>'SIMULAÇÃO CARTEIRA DE AÇÕES'!$B$24</c:f>
              <c:numCache>
                <c:formatCode>0.00%</c:formatCode>
                <c:ptCount val="1"/>
                <c:pt idx="0">
                  <c:v>4.4478933254930915E-2</c:v>
                </c:pt>
              </c:numCache>
            </c:numRef>
          </c:xVal>
          <c:yVal>
            <c:numRef>
              <c:f>'SIMULAÇÃO CARTEIRA DE AÇÕES'!$B$23</c:f>
              <c:numCache>
                <c:formatCode>0.00%</c:formatCode>
                <c:ptCount val="1"/>
                <c:pt idx="0">
                  <c:v>1.9131405791715947E-2</c:v>
                </c:pt>
              </c:numCache>
            </c:numRef>
          </c:yVal>
          <c:smooth val="1"/>
        </c:ser>
        <c:ser>
          <c:idx val="4"/>
          <c:order val="4"/>
          <c:tx>
            <c:v>CARTEIRA MODERADA</c:v>
          </c:tx>
          <c:spPr>
            <a:ln w="53975" cmpd="sng"/>
          </c:spPr>
          <c:marker>
            <c:symbol val="star"/>
            <c:size val="11"/>
          </c:marker>
          <c:trendline>
            <c:trendlineType val="linear"/>
          </c:trendline>
          <c:xVal>
            <c:numRef>
              <c:f>'SIMULAÇÃO CARTEIRA DE AÇÕES'!$E$24</c:f>
              <c:numCache>
                <c:formatCode>0.00%</c:formatCode>
                <c:ptCount val="1"/>
                <c:pt idx="0">
                  <c:v>4.838806280013782E-2</c:v>
                </c:pt>
              </c:numCache>
            </c:numRef>
          </c:xVal>
          <c:yVal>
            <c:numRef>
              <c:f>'SIMULAÇÃO CARTEIRA DE AÇÕES'!$E$23</c:f>
              <c:numCache>
                <c:formatCode>0.00%</c:formatCode>
                <c:ptCount val="1"/>
                <c:pt idx="0">
                  <c:v>2.1724812131396182E-2</c:v>
                </c:pt>
              </c:numCache>
            </c:numRef>
          </c:yVal>
          <c:smooth val="1"/>
        </c:ser>
        <c:ser>
          <c:idx val="5"/>
          <c:order val="5"/>
          <c:tx>
            <c:v>CARTEIRA AGRESSIVA</c:v>
          </c:tx>
          <c:xVal>
            <c:numRef>
              <c:f>'SIMULAÇÃO CARTEIRA DE AÇÕES'!$H$24</c:f>
              <c:numCache>
                <c:formatCode>0.00%</c:formatCode>
                <c:ptCount val="1"/>
                <c:pt idx="0">
                  <c:v>6.9747837508781885E-2</c:v>
                </c:pt>
              </c:numCache>
            </c:numRef>
          </c:xVal>
          <c:yVal>
            <c:numRef>
              <c:f>'SIMULAÇÃO CARTEIRA DE AÇÕES'!$H$23</c:f>
              <c:numCache>
                <c:formatCode>0.00%</c:formatCode>
                <c:ptCount val="1"/>
                <c:pt idx="0">
                  <c:v>2.5835E-2</c:v>
                </c:pt>
              </c:numCache>
            </c:numRef>
          </c:yVal>
          <c:smooth val="1"/>
        </c:ser>
        <c:axId val="110570880"/>
        <c:axId val="110593152"/>
      </c:scatterChart>
      <c:valAx>
        <c:axId val="110570880"/>
        <c:scaling>
          <c:orientation val="minMax"/>
        </c:scaling>
        <c:axPos val="b"/>
        <c:numFmt formatCode="0.00%" sourceLinked="1"/>
        <c:tickLblPos val="nextTo"/>
        <c:crossAx val="110593152"/>
        <c:crosses val="autoZero"/>
        <c:crossBetween val="midCat"/>
      </c:valAx>
      <c:valAx>
        <c:axId val="110593152"/>
        <c:scaling>
          <c:orientation val="minMax"/>
        </c:scaling>
        <c:axPos val="l"/>
        <c:majorGridlines/>
        <c:numFmt formatCode="0.00%" sourceLinked="1"/>
        <c:tickLblPos val="nextTo"/>
        <c:crossAx val="110570880"/>
        <c:crosses val="autoZero"/>
        <c:crossBetween val="midCat"/>
      </c:valAx>
    </c:plotArea>
    <c:legend>
      <c:legendPos val="r"/>
      <c:legendEntry>
        <c:idx val="6"/>
        <c:delete val="1"/>
      </c:legendEntry>
      <c:layout/>
    </c:legend>
    <c:plotVisOnly val="1"/>
  </c:chart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scatterChart>
        <c:scatterStyle val="smoothMarker"/>
        <c:ser>
          <c:idx val="0"/>
          <c:order val="0"/>
          <c:xVal>
            <c:numRef>
              <c:f>Plan3!$M$58:$M$131</c:f>
              <c:numCache>
                <c:formatCode>0.00%</c:formatCode>
                <c:ptCount val="74"/>
                <c:pt idx="0">
                  <c:v>5.8571667285076942E-2</c:v>
                </c:pt>
                <c:pt idx="1">
                  <c:v>5.7350129544322968E-2</c:v>
                </c:pt>
                <c:pt idx="2">
                  <c:v>5.6166685620899888E-2</c:v>
                </c:pt>
                <c:pt idx="3">
                  <c:v>5.5023793518921255E-2</c:v>
                </c:pt>
                <c:pt idx="4">
                  <c:v>5.3924031724994957E-2</c:v>
                </c:pt>
                <c:pt idx="5">
                  <c:v>5.2870091795202537E-2</c:v>
                </c:pt>
                <c:pt idx="6">
                  <c:v>5.1864767232462597E-2</c:v>
                </c:pt>
                <c:pt idx="7">
                  <c:v>5.0910938101859933E-2</c:v>
                </c:pt>
                <c:pt idx="8">
                  <c:v>5.001155088011968E-2</c:v>
                </c:pt>
                <c:pt idx="9">
                  <c:v>4.9169593135877078E-2</c:v>
                </c:pt>
                <c:pt idx="10">
                  <c:v>4.838806280013782E-2</c:v>
                </c:pt>
                <c:pt idx="11">
                  <c:v>4.766993201843249E-2</c:v>
                </c:pt>
                <c:pt idx="12">
                  <c:v>4.7018105878728997E-2</c:v>
                </c:pt>
                <c:pt idx="13">
                  <c:v>4.6435376674409209E-2</c:v>
                </c:pt>
                <c:pt idx="14">
                  <c:v>4.5924374770427372E-2</c:v>
                </c:pt>
                <c:pt idx="15">
                  <c:v>4.5487517561464783E-2</c:v>
                </c:pt>
                <c:pt idx="16">
                  <c:v>4.5126958400095722E-2</c:v>
                </c:pt>
                <c:pt idx="17">
                  <c:v>4.484453767933029E-2</c:v>
                </c:pt>
                <c:pt idx="18">
                  <c:v>4.464173842483378E-2</c:v>
                </c:pt>
                <c:pt idx="19">
                  <c:v>4.4519648742989755E-2</c:v>
                </c:pt>
                <c:pt idx="20">
                  <c:v>4.4478933254930915E-2</c:v>
                </c:pt>
                <c:pt idx="21">
                  <c:v>4.4519815222926425E-2</c:v>
                </c:pt>
                <c:pt idx="22">
                  <c:v>4.4642070473488629E-2</c:v>
                </c:pt>
                <c:pt idx="23">
                  <c:v>4.4845033498993409E-2</c:v>
                </c:pt>
                <c:pt idx="24">
                  <c:v>4.5127615354472905E-2</c:v>
                </c:pt>
                <c:pt idx="25">
                  <c:v>4.5488332243842251E-2</c:v>
                </c:pt>
                <c:pt idx="26">
                  <c:v>4.592534308810986E-2</c:v>
                </c:pt>
                <c:pt idx="27">
                  <c:v>4.6436493944790061E-2</c:v>
                </c:pt>
                <c:pt idx="28">
                  <c:v>4.7019366932126473E-2</c:v>
                </c:pt>
                <c:pt idx="29">
                  <c:v>4.7671331303005132E-2</c:v>
                </c:pt>
                <c:pt idx="30">
                  <c:v>4.8389594484695826E-2</c:v>
                </c:pt>
                <c:pt idx="31">
                  <c:v>4.9171251207135593E-2</c:v>
                </c:pt>
                <c:pt idx="32">
                  <c:v>5.0013329231782477E-2</c:v>
                </c:pt>
                <c:pt idx="33">
                  <c:v>5.091283061378149E-2</c:v>
                </c:pt>
                <c:pt idx="34">
                  <c:v>5.1866767838935561E-2</c:v>
                </c:pt>
                <c:pt idx="35">
                  <c:v>5.2872194542102936E-2</c:v>
                </c:pt>
                <c:pt idx="36">
                  <c:v>5.392623081606409E-2</c:v>
                </c:pt>
                <c:pt idx="37">
                  <c:v>5.5026083351864721E-2</c:v>
                </c:pt>
                <c:pt idx="38">
                  <c:v>5.6169060814249015E-2</c:v>
                </c:pt>
                <c:pt idx="39">
                  <c:v>5.7352584956153023E-2</c:v>
                </c:pt>
                <c:pt idx="40">
                  <c:v>5.8574198024729206E-2</c:v>
                </c:pt>
                <c:pt idx="41">
                  <c:v>5.983156701956871E-2</c:v>
                </c:pt>
                <c:pt idx="42">
                  <c:v>6.1122485342822885E-2</c:v>
                </c:pt>
                <c:pt idx="43">
                  <c:v>6.2444872340645871E-2</c:v>
                </c:pt>
                <c:pt idx="44">
                  <c:v>6.3796771183853879E-2</c:v>
                </c:pt>
                <c:pt idx="45">
                  <c:v>6.5176345479168812E-2</c:v>
                </c:pt>
                <c:pt idx="46">
                  <c:v>6.658187494539651E-2</c:v>
                </c:pt>
              </c:numCache>
            </c:numRef>
          </c:xVal>
          <c:yVal>
            <c:numRef>
              <c:f>Plan3!$L$58:$L$131</c:f>
              <c:numCache>
                <c:formatCode>0.000%</c:formatCode>
                <c:ptCount val="74"/>
                <c:pt idx="0">
                  <c:v>2.431821847107642E-2</c:v>
                </c:pt>
                <c:pt idx="1">
                  <c:v>2.4058877837108392E-2</c:v>
                </c:pt>
                <c:pt idx="2">
                  <c:v>2.3799537203140365E-2</c:v>
                </c:pt>
                <c:pt idx="3">
                  <c:v>2.3540196569172347E-2</c:v>
                </c:pt>
                <c:pt idx="4">
                  <c:v>2.3280855935204327E-2</c:v>
                </c:pt>
                <c:pt idx="5">
                  <c:v>2.3021515301236299E-2</c:v>
                </c:pt>
                <c:pt idx="6">
                  <c:v>2.2762174667268271E-2</c:v>
                </c:pt>
                <c:pt idx="7">
                  <c:v>2.2502834033300251E-2</c:v>
                </c:pt>
                <c:pt idx="8">
                  <c:v>2.2243493399332227E-2</c:v>
                </c:pt>
                <c:pt idx="9">
                  <c:v>2.1984152765364209E-2</c:v>
                </c:pt>
                <c:pt idx="10">
                  <c:v>2.1724812131396182E-2</c:v>
                </c:pt>
                <c:pt idx="11">
                  <c:v>2.1465471497428158E-2</c:v>
                </c:pt>
                <c:pt idx="12">
                  <c:v>2.1206130863460137E-2</c:v>
                </c:pt>
                <c:pt idx="13">
                  <c:v>2.0946790229492113E-2</c:v>
                </c:pt>
                <c:pt idx="14">
                  <c:v>2.0687449595524088E-2</c:v>
                </c:pt>
                <c:pt idx="15">
                  <c:v>2.0428108961556064E-2</c:v>
                </c:pt>
                <c:pt idx="16">
                  <c:v>2.0168768327588044E-2</c:v>
                </c:pt>
                <c:pt idx="17">
                  <c:v>1.9909427693620016E-2</c:v>
                </c:pt>
                <c:pt idx="18">
                  <c:v>1.9650087059651995E-2</c:v>
                </c:pt>
                <c:pt idx="19">
                  <c:v>1.9390746425683971E-2</c:v>
                </c:pt>
                <c:pt idx="20">
                  <c:v>1.9131405791715943E-2</c:v>
                </c:pt>
                <c:pt idx="21">
                  <c:v>1.8872065157747926E-2</c:v>
                </c:pt>
                <c:pt idx="22">
                  <c:v>1.8612724523779902E-2</c:v>
                </c:pt>
                <c:pt idx="23">
                  <c:v>1.8353383889811874E-2</c:v>
                </c:pt>
                <c:pt idx="24">
                  <c:v>1.809404325584385E-2</c:v>
                </c:pt>
                <c:pt idx="25">
                  <c:v>1.7834702621875829E-2</c:v>
                </c:pt>
                <c:pt idx="26">
                  <c:v>1.7575361987907805E-2</c:v>
                </c:pt>
                <c:pt idx="27">
                  <c:v>1.7316021353939785E-2</c:v>
                </c:pt>
                <c:pt idx="28">
                  <c:v>1.7056680719971757E-2</c:v>
                </c:pt>
                <c:pt idx="29">
                  <c:v>1.6797340086003733E-2</c:v>
                </c:pt>
                <c:pt idx="30">
                  <c:v>1.6537999452035709E-2</c:v>
                </c:pt>
                <c:pt idx="31">
                  <c:v>1.6278658818067688E-2</c:v>
                </c:pt>
                <c:pt idx="32">
                  <c:v>1.6019318184099664E-2</c:v>
                </c:pt>
                <c:pt idx="33">
                  <c:v>1.5759977550131643E-2</c:v>
                </c:pt>
                <c:pt idx="34">
                  <c:v>1.5500636916163615E-2</c:v>
                </c:pt>
                <c:pt idx="35">
                  <c:v>1.5241296282195588E-2</c:v>
                </c:pt>
                <c:pt idx="36">
                  <c:v>1.4981955648227567E-2</c:v>
                </c:pt>
                <c:pt idx="37">
                  <c:v>1.4722615014259539E-2</c:v>
                </c:pt>
                <c:pt idx="38">
                  <c:v>1.4463274380291526E-2</c:v>
                </c:pt>
                <c:pt idx="39">
                  <c:v>1.4203933746323498E-2</c:v>
                </c:pt>
                <c:pt idx="40">
                  <c:v>1.3944593112355477E-2</c:v>
                </c:pt>
                <c:pt idx="41">
                  <c:v>1.368525247838745E-2</c:v>
                </c:pt>
                <c:pt idx="42">
                  <c:v>1.3425911844419429E-2</c:v>
                </c:pt>
                <c:pt idx="43">
                  <c:v>1.3166571210451408E-2</c:v>
                </c:pt>
                <c:pt idx="44">
                  <c:v>1.2907230576483381E-2</c:v>
                </c:pt>
                <c:pt idx="45">
                  <c:v>1.2647889942515353E-2</c:v>
                </c:pt>
                <c:pt idx="46">
                  <c:v>1.2388549308547332E-2</c:v>
                </c:pt>
              </c:numCache>
            </c:numRef>
          </c:yVal>
          <c:smooth val="1"/>
        </c:ser>
        <c:ser>
          <c:idx val="1"/>
          <c:order val="1"/>
          <c:xVal>
            <c:numRef>
              <c:f>Plan3!$D$3</c:f>
              <c:numCache>
                <c:formatCode>0.00%</c:formatCode>
                <c:ptCount val="1"/>
                <c:pt idx="0">
                  <c:v>7.4289999999999995E-2</c:v>
                </c:pt>
              </c:numCache>
            </c:numRef>
          </c:xVal>
          <c:yVal>
            <c:numRef>
              <c:f>Plan3!$C$3</c:f>
              <c:numCache>
                <c:formatCode>0.00%</c:formatCode>
                <c:ptCount val="1"/>
                <c:pt idx="0">
                  <c:v>2.7230000000000001E-2</c:v>
                </c:pt>
              </c:numCache>
            </c:numRef>
          </c:yVal>
          <c:smooth val="1"/>
        </c:ser>
        <c:ser>
          <c:idx val="2"/>
          <c:order val="2"/>
          <c:xVal>
            <c:numRef>
              <c:f>Plan3!$D$4</c:f>
              <c:numCache>
                <c:formatCode>0.00%</c:formatCode>
                <c:ptCount val="1"/>
                <c:pt idx="0">
                  <c:v>6.1859999999999998E-2</c:v>
                </c:pt>
              </c:numCache>
            </c:numRef>
          </c:xVal>
          <c:yVal>
            <c:numRef>
              <c:f>Plan3!$C$4</c:f>
              <c:numCache>
                <c:formatCode>0.00%</c:formatCode>
                <c:ptCount val="1"/>
                <c:pt idx="0">
                  <c:v>1.328E-2</c:v>
                </c:pt>
              </c:numCache>
            </c:numRef>
          </c:yVal>
          <c:smooth val="1"/>
        </c:ser>
        <c:ser>
          <c:idx val="3"/>
          <c:order val="3"/>
          <c:xVal>
            <c:numRef>
              <c:f>Plan3!$N$32</c:f>
              <c:numCache>
                <c:formatCode>0.00%</c:formatCode>
                <c:ptCount val="1"/>
                <c:pt idx="0">
                  <c:v>4.4478933254930915E-2</c:v>
                </c:pt>
              </c:numCache>
            </c:numRef>
          </c:xVal>
          <c:yVal>
            <c:numRef>
              <c:f>Plan3!$M$32</c:f>
              <c:numCache>
                <c:formatCode>0.00%</c:formatCode>
                <c:ptCount val="1"/>
                <c:pt idx="0">
                  <c:v>1.9131405791715947E-2</c:v>
                </c:pt>
              </c:numCache>
            </c:numRef>
          </c:yVal>
          <c:smooth val="1"/>
        </c:ser>
        <c:ser>
          <c:idx val="4"/>
          <c:order val="4"/>
          <c:xVal>
            <c:numRef>
              <c:f>Plan3!$N$33</c:f>
              <c:numCache>
                <c:formatCode>0.00%</c:formatCode>
                <c:ptCount val="1"/>
                <c:pt idx="0">
                  <c:v>4.838806280013782E-2</c:v>
                </c:pt>
              </c:numCache>
            </c:numRef>
          </c:xVal>
          <c:yVal>
            <c:numRef>
              <c:f>Plan3!$M$33</c:f>
              <c:numCache>
                <c:formatCode>0.000%</c:formatCode>
                <c:ptCount val="1"/>
                <c:pt idx="0">
                  <c:v>2.1724812131396182E-2</c:v>
                </c:pt>
              </c:numCache>
            </c:numRef>
          </c:yVal>
          <c:smooth val="1"/>
        </c:ser>
        <c:axId val="113044864"/>
        <c:axId val="113046656"/>
      </c:scatterChart>
      <c:valAx>
        <c:axId val="113044864"/>
        <c:scaling>
          <c:orientation val="minMax"/>
        </c:scaling>
        <c:axPos val="b"/>
        <c:numFmt formatCode="0.00%" sourceLinked="1"/>
        <c:tickLblPos val="nextTo"/>
        <c:crossAx val="113046656"/>
        <c:crosses val="autoZero"/>
        <c:crossBetween val="midCat"/>
      </c:valAx>
      <c:valAx>
        <c:axId val="113046656"/>
        <c:scaling>
          <c:orientation val="minMax"/>
        </c:scaling>
        <c:axPos val="l"/>
        <c:majorGridlines/>
        <c:numFmt formatCode="0.000%" sourceLinked="1"/>
        <c:tickLblPos val="nextTo"/>
        <c:crossAx val="11304486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9</xdr:row>
      <xdr:rowOff>0</xdr:rowOff>
    </xdr:from>
    <xdr:to>
      <xdr:col>3</xdr:col>
      <xdr:colOff>333375</xdr:colOff>
      <xdr:row>9</xdr:row>
      <xdr:rowOff>171450</xdr:rowOff>
    </xdr:to>
    <xdr:sp macro="" textlink="">
      <xdr:nvSpPr>
        <xdr:cNvPr id="2" name="Seta para baixo 1"/>
        <xdr:cNvSpPr/>
      </xdr:nvSpPr>
      <xdr:spPr>
        <a:xfrm>
          <a:off x="2628900" y="1752600"/>
          <a:ext cx="66675" cy="17145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2</xdr:col>
      <xdr:colOff>342900</xdr:colOff>
      <xdr:row>4</xdr:row>
      <xdr:rowOff>9525</xdr:rowOff>
    </xdr:from>
    <xdr:to>
      <xdr:col>2</xdr:col>
      <xdr:colOff>409575</xdr:colOff>
      <xdr:row>4</xdr:row>
      <xdr:rowOff>180975</xdr:rowOff>
    </xdr:to>
    <xdr:sp macro="" textlink="">
      <xdr:nvSpPr>
        <xdr:cNvPr id="3" name="Seta para baixo 2"/>
        <xdr:cNvSpPr/>
      </xdr:nvSpPr>
      <xdr:spPr>
        <a:xfrm>
          <a:off x="1895475" y="809625"/>
          <a:ext cx="66675" cy="17145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8</xdr:col>
      <xdr:colOff>19050</xdr:colOff>
      <xdr:row>4</xdr:row>
      <xdr:rowOff>66675</xdr:rowOff>
    </xdr:from>
    <xdr:to>
      <xdr:col>15</xdr:col>
      <xdr:colOff>552450</xdr:colOff>
      <xdr:row>18</xdr:row>
      <xdr:rowOff>152400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48</xdr:row>
      <xdr:rowOff>19050</xdr:rowOff>
    </xdr:from>
    <xdr:to>
      <xdr:col>7</xdr:col>
      <xdr:colOff>238125</xdr:colOff>
      <xdr:row>62</xdr:row>
      <xdr:rowOff>95250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workbookViewId="0">
      <selection activeCell="A2" sqref="A2"/>
    </sheetView>
  </sheetViews>
  <sheetFormatPr defaultRowHeight="15"/>
  <cols>
    <col min="1" max="1" width="9.140625" style="44"/>
    <col min="2" max="2" width="16.42578125" style="44" customWidth="1"/>
    <col min="3" max="3" width="14" style="44" customWidth="1"/>
    <col min="4" max="4" width="9.5703125" style="44" bestFit="1" customWidth="1"/>
    <col min="5" max="5" width="10.42578125" style="44" customWidth="1"/>
    <col min="6" max="6" width="16.5703125" style="44" customWidth="1"/>
    <col min="7" max="7" width="14" style="44" bestFit="1" customWidth="1"/>
    <col min="8" max="8" width="13.28515625" style="44" bestFit="1" customWidth="1"/>
    <col min="9" max="16384" width="9.140625" style="44"/>
  </cols>
  <sheetData>
    <row r="1" spans="1:8">
      <c r="A1" s="67" t="s">
        <v>25</v>
      </c>
      <c r="B1" s="67"/>
      <c r="C1" s="67"/>
      <c r="D1" s="67"/>
      <c r="E1" s="67"/>
      <c r="F1" s="67"/>
      <c r="G1" s="67"/>
      <c r="H1" s="67"/>
    </row>
    <row r="2" spans="1:8" ht="15.75" thickBot="1"/>
    <row r="3" spans="1:8" ht="15.75" thickBot="1">
      <c r="B3" s="45" t="s">
        <v>9</v>
      </c>
      <c r="C3" s="46" t="s">
        <v>10</v>
      </c>
      <c r="D3" s="46" t="s">
        <v>11</v>
      </c>
      <c r="E3" s="46" t="s">
        <v>12</v>
      </c>
      <c r="F3" s="46" t="s">
        <v>13</v>
      </c>
      <c r="G3" s="46" t="s">
        <v>14</v>
      </c>
      <c r="H3" s="47" t="s">
        <v>15</v>
      </c>
    </row>
    <row r="4" spans="1:8" ht="16.5" thickBot="1">
      <c r="B4" s="48" t="s">
        <v>0</v>
      </c>
      <c r="C4" s="49" t="s">
        <v>1</v>
      </c>
      <c r="D4" s="49" t="s">
        <v>2</v>
      </c>
      <c r="E4" s="49" t="s">
        <v>3</v>
      </c>
      <c r="F4" s="49" t="s">
        <v>4</v>
      </c>
      <c r="G4" s="49" t="s">
        <v>5</v>
      </c>
      <c r="H4" s="50" t="s">
        <v>6</v>
      </c>
    </row>
    <row r="6" spans="1:8">
      <c r="B6" s="51" t="s">
        <v>22</v>
      </c>
      <c r="C6" s="42" t="s">
        <v>9</v>
      </c>
      <c r="D6" s="52" t="str">
        <f>VLOOKUP(C6,'BASE DE DADOS'!$A$2:$E$9,2)</f>
        <v>CEBR6</v>
      </c>
      <c r="E6" s="44" t="s">
        <v>24</v>
      </c>
    </row>
    <row r="7" spans="1:8">
      <c r="B7" s="51" t="s">
        <v>23</v>
      </c>
      <c r="C7" s="42" t="s">
        <v>10</v>
      </c>
      <c r="D7" s="52" t="str">
        <f>VLOOKUP(C7,'BASE DE DADOS'!$A$2:$E$9,2)</f>
        <v>RCSL3</v>
      </c>
    </row>
    <row r="9" spans="1:8">
      <c r="A9" s="67" t="s">
        <v>29</v>
      </c>
      <c r="B9" s="67"/>
      <c r="C9" s="67"/>
      <c r="D9" s="67"/>
      <c r="E9" s="67"/>
      <c r="F9" s="67"/>
      <c r="G9" s="67"/>
      <c r="H9" s="67"/>
    </row>
    <row r="10" spans="1:8">
      <c r="F10" s="44" t="s">
        <v>27</v>
      </c>
      <c r="G10" s="44" t="s">
        <v>28</v>
      </c>
    </row>
    <row r="11" spans="1:8">
      <c r="A11" s="64" t="s">
        <v>26</v>
      </c>
      <c r="B11" s="65"/>
      <c r="C11" s="53" t="str">
        <f>C6</f>
        <v>A</v>
      </c>
      <c r="D11" s="43">
        <v>100</v>
      </c>
      <c r="E11" s="54" t="str">
        <f>D6</f>
        <v>CEBR6</v>
      </c>
      <c r="F11" s="55">
        <f>VLOOKUP(C11,'BASE DE DADOS'!$A$2:$E$9,5)</f>
        <v>25</v>
      </c>
      <c r="G11" s="56">
        <f>F11*D11</f>
        <v>2500</v>
      </c>
    </row>
    <row r="12" spans="1:8">
      <c r="A12" s="64" t="s">
        <v>26</v>
      </c>
      <c r="B12" s="65"/>
      <c r="C12" s="53" t="str">
        <f>C7</f>
        <v>B</v>
      </c>
      <c r="D12" s="43">
        <v>100</v>
      </c>
      <c r="E12" s="54" t="str">
        <f>D7</f>
        <v>RCSL3</v>
      </c>
      <c r="F12" s="55">
        <f>VLOOKUP(C12,'BASE DE DADOS'!$A$2:$E$9,5)</f>
        <v>1.9</v>
      </c>
      <c r="G12" s="56">
        <f>F12*D12</f>
        <v>190</v>
      </c>
    </row>
    <row r="14" spans="1:8">
      <c r="A14" s="67" t="s">
        <v>30</v>
      </c>
      <c r="B14" s="67"/>
      <c r="C14" s="67"/>
      <c r="D14" s="67"/>
      <c r="E14" s="67"/>
      <c r="F14" s="67"/>
      <c r="G14" s="67"/>
      <c r="H14" s="67"/>
    </row>
    <row r="15" spans="1:8" ht="15.75" thickBot="1">
      <c r="B15" s="66" t="s">
        <v>31</v>
      </c>
      <c r="C15" s="66"/>
      <c r="D15" s="52" t="s">
        <v>32</v>
      </c>
    </row>
    <row r="16" spans="1:8" ht="15.75" thickBot="1">
      <c r="B16" s="51" t="str">
        <f>E11</f>
        <v>CEBR6</v>
      </c>
      <c r="C16" s="57">
        <f>G11</f>
        <v>2500</v>
      </c>
      <c r="D16" s="58">
        <f>Plan3!G6</f>
        <v>0.92936802973977695</v>
      </c>
      <c r="F16" s="59" t="s">
        <v>7</v>
      </c>
      <c r="G16" s="60">
        <f>Plan3!C9</f>
        <v>2.5306691449814126E-2</v>
      </c>
    </row>
    <row r="17" spans="1:8" ht="15.75" thickBot="1">
      <c r="B17" s="51" t="str">
        <f>E12</f>
        <v>RCSL3</v>
      </c>
      <c r="C17" s="57">
        <f>G12</f>
        <v>190</v>
      </c>
      <c r="D17" s="58">
        <f>Plan3!G7</f>
        <v>7.0631970260223054E-2</v>
      </c>
      <c r="F17" s="59" t="s">
        <v>8</v>
      </c>
      <c r="G17" s="60">
        <f>Plan3!C10</f>
        <v>6.8628305748116555E-2</v>
      </c>
    </row>
    <row r="18" spans="1:8">
      <c r="A18" s="67" t="s">
        <v>33</v>
      </c>
      <c r="B18" s="67"/>
      <c r="C18" s="67"/>
      <c r="D18" s="67"/>
      <c r="E18" s="67"/>
      <c r="F18" s="67"/>
      <c r="G18" s="67"/>
      <c r="H18" s="67"/>
    </row>
    <row r="19" spans="1:8">
      <c r="A19" s="63" t="s">
        <v>46</v>
      </c>
      <c r="B19" s="63"/>
      <c r="D19" s="63" t="s">
        <v>45</v>
      </c>
      <c r="E19" s="63"/>
      <c r="G19" s="63" t="s">
        <v>47</v>
      </c>
      <c r="H19" s="63"/>
    </row>
    <row r="20" spans="1:8">
      <c r="A20" s="51" t="str">
        <f>B16</f>
        <v>CEBR6</v>
      </c>
      <c r="B20" s="58">
        <f>Plan3!B17</f>
        <v>0.41945561230938699</v>
      </c>
      <c r="D20" s="51" t="str">
        <f>A20</f>
        <v>CEBR6</v>
      </c>
      <c r="E20" s="58">
        <f>Plan3!K33</f>
        <v>0.6053628768025936</v>
      </c>
      <c r="G20" s="51" t="str">
        <f>D20</f>
        <v>CEBR6</v>
      </c>
      <c r="H20" s="58">
        <f ca="1">'BASE DE DADOS'!G23</f>
        <v>0.9</v>
      </c>
    </row>
    <row r="21" spans="1:8">
      <c r="A21" s="51" t="str">
        <f>B17</f>
        <v>RCSL3</v>
      </c>
      <c r="B21" s="58">
        <f>Plan3!C17</f>
        <v>0.58054438769061301</v>
      </c>
      <c r="D21" s="51" t="str">
        <f>A21</f>
        <v>RCSL3</v>
      </c>
      <c r="E21" s="58">
        <f>Plan3!L33</f>
        <v>0.39463712319740646</v>
      </c>
      <c r="G21" s="51" t="str">
        <f>D21</f>
        <v>RCSL3</v>
      </c>
      <c r="H21" s="58">
        <f ca="1">'BASE DE DADOS'!H23</f>
        <v>9.9999999999999978E-2</v>
      </c>
    </row>
    <row r="22" spans="1:8" ht="15.75" thickBot="1"/>
    <row r="23" spans="1:8" ht="15.75" thickBot="1">
      <c r="A23" s="59" t="s">
        <v>7</v>
      </c>
      <c r="B23" s="61">
        <f>Plan3!D17</f>
        <v>1.9131405791715947E-2</v>
      </c>
      <c r="D23" s="59" t="s">
        <v>7</v>
      </c>
      <c r="E23" s="61">
        <f>Plan3!M33</f>
        <v>2.1724812131396182E-2</v>
      </c>
      <c r="G23" s="59" t="s">
        <v>7</v>
      </c>
      <c r="H23" s="61">
        <f ca="1">'BASE DE DADOS'!I23</f>
        <v>2.5835E-2</v>
      </c>
    </row>
    <row r="24" spans="1:8" ht="15.75" thickBot="1">
      <c r="A24" s="59" t="s">
        <v>8</v>
      </c>
      <c r="B24" s="61">
        <f>Plan3!E17</f>
        <v>4.4478933254930915E-2</v>
      </c>
      <c r="D24" s="59" t="s">
        <v>8</v>
      </c>
      <c r="E24" s="61">
        <f>Plan3!N33</f>
        <v>4.838806280013782E-2</v>
      </c>
      <c r="G24" s="59" t="s">
        <v>8</v>
      </c>
      <c r="H24" s="61">
        <f ca="1">'BASE DE DADOS'!J23</f>
        <v>6.9747837508781885E-2</v>
      </c>
    </row>
    <row r="25" spans="1:8">
      <c r="A25" s="62"/>
      <c r="B25" s="62"/>
      <c r="C25" s="62"/>
      <c r="D25" s="62"/>
      <c r="E25" s="62"/>
      <c r="F25" s="62"/>
      <c r="G25" s="62"/>
      <c r="H25" s="62"/>
    </row>
  </sheetData>
  <sheetProtection password="CB51" sheet="1" objects="1" scenarios="1"/>
  <mergeCells count="10">
    <mergeCell ref="A1:H1"/>
    <mergeCell ref="A11:B11"/>
    <mergeCell ref="A9:H9"/>
    <mergeCell ref="A14:H14"/>
    <mergeCell ref="A18:H18"/>
    <mergeCell ref="A19:B19"/>
    <mergeCell ref="D19:E19"/>
    <mergeCell ref="G19:H19"/>
    <mergeCell ref="A12:B12"/>
    <mergeCell ref="B15:C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6"/>
  <sheetViews>
    <sheetView topLeftCell="A2" workbookViewId="0">
      <selection activeCell="J24" sqref="J24"/>
    </sheetView>
  </sheetViews>
  <sheetFormatPr defaultRowHeight="15"/>
  <cols>
    <col min="1" max="1" width="15.5703125" customWidth="1"/>
    <col min="2" max="2" width="12.140625" bestFit="1" customWidth="1"/>
    <col min="3" max="3" width="13.28515625" bestFit="1" customWidth="1"/>
    <col min="4" max="4" width="14" bestFit="1" customWidth="1"/>
    <col min="5" max="5" width="17" customWidth="1"/>
    <col min="6" max="6" width="13.28515625" customWidth="1"/>
    <col min="7" max="7" width="15.85546875" bestFit="1" customWidth="1"/>
    <col min="8" max="8" width="13.7109375" bestFit="1" customWidth="1"/>
    <col min="9" max="9" width="12.140625" bestFit="1" customWidth="1"/>
  </cols>
  <sheetData>
    <row r="1" spans="1:9">
      <c r="A1" s="71" t="s">
        <v>20</v>
      </c>
      <c r="B1" s="72"/>
      <c r="C1" s="72"/>
      <c r="D1" s="72"/>
      <c r="E1" s="72"/>
      <c r="F1" s="72"/>
      <c r="G1" s="72"/>
      <c r="H1" s="72"/>
      <c r="I1" s="73"/>
    </row>
    <row r="2" spans="1:9">
      <c r="A2" s="5"/>
      <c r="B2" s="6"/>
      <c r="C2" s="16" t="s">
        <v>7</v>
      </c>
      <c r="D2" s="16" t="s">
        <v>8</v>
      </c>
      <c r="E2" s="6" t="s">
        <v>27</v>
      </c>
      <c r="F2" s="6"/>
      <c r="G2" s="6"/>
      <c r="H2" s="6"/>
      <c r="I2" s="9"/>
    </row>
    <row r="3" spans="1:9">
      <c r="A3" s="15" t="s">
        <v>9</v>
      </c>
      <c r="B3" s="6" t="s">
        <v>0</v>
      </c>
      <c r="C3" s="17">
        <v>2.7230000000000001E-2</v>
      </c>
      <c r="D3" s="17">
        <v>7.4289999999999995E-2</v>
      </c>
      <c r="E3" s="29">
        <v>25</v>
      </c>
      <c r="F3" s="6"/>
      <c r="G3" s="6"/>
      <c r="H3" s="6"/>
      <c r="I3" s="9"/>
    </row>
    <row r="4" spans="1:9">
      <c r="A4" s="15" t="s">
        <v>10</v>
      </c>
      <c r="B4" s="6" t="s">
        <v>1</v>
      </c>
      <c r="C4" s="17">
        <v>1.328E-2</v>
      </c>
      <c r="D4" s="17">
        <v>6.1859999999999998E-2</v>
      </c>
      <c r="E4" s="29">
        <v>1.9</v>
      </c>
      <c r="F4" s="6"/>
      <c r="G4" s="6"/>
      <c r="H4" s="6"/>
      <c r="I4" s="9"/>
    </row>
    <row r="5" spans="1:9">
      <c r="A5" s="15" t="s">
        <v>11</v>
      </c>
      <c r="B5" s="6" t="s">
        <v>2</v>
      </c>
      <c r="C5" s="17">
        <v>4.5400000000000003E-2</v>
      </c>
      <c r="D5" s="17">
        <v>5.2519999999999997E-2</v>
      </c>
      <c r="E5" s="29">
        <v>27.67</v>
      </c>
      <c r="F5" s="6"/>
      <c r="G5" s="6"/>
      <c r="H5" s="6"/>
      <c r="I5" s="9"/>
    </row>
    <row r="6" spans="1:9">
      <c r="A6" s="15" t="s">
        <v>12</v>
      </c>
      <c r="B6" s="6" t="s">
        <v>3</v>
      </c>
      <c r="C6" s="17">
        <v>3.78E-2</v>
      </c>
      <c r="D6" s="17">
        <v>0.10105</v>
      </c>
      <c r="E6" s="29">
        <v>8</v>
      </c>
      <c r="F6" s="6"/>
      <c r="G6" s="6"/>
      <c r="H6" s="6"/>
      <c r="I6" s="9"/>
    </row>
    <row r="7" spans="1:9">
      <c r="A7" s="15" t="s">
        <v>13</v>
      </c>
      <c r="B7" s="6" t="s">
        <v>4</v>
      </c>
      <c r="C7" s="17">
        <v>9.2480000000000007E-2</v>
      </c>
      <c r="D7" s="17">
        <v>0.18890000000000001</v>
      </c>
      <c r="E7" s="29">
        <v>109.5</v>
      </c>
      <c r="F7" s="6"/>
      <c r="G7" s="6"/>
      <c r="H7" s="6"/>
      <c r="I7" s="9"/>
    </row>
    <row r="8" spans="1:9">
      <c r="A8" s="15" t="s">
        <v>14</v>
      </c>
      <c r="B8" s="6" t="s">
        <v>5</v>
      </c>
      <c r="C8" s="17">
        <v>4.0079999999999998E-2</v>
      </c>
      <c r="D8" s="17">
        <v>0.15357999999999999</v>
      </c>
      <c r="E8" s="29">
        <v>8.99</v>
      </c>
      <c r="F8" s="6"/>
      <c r="G8" s="6"/>
      <c r="H8" s="6"/>
      <c r="I8" s="9"/>
    </row>
    <row r="9" spans="1:9">
      <c r="A9" s="15" t="s">
        <v>15</v>
      </c>
      <c r="B9" s="6" t="s">
        <v>6</v>
      </c>
      <c r="C9" s="17">
        <v>1.37E-2</v>
      </c>
      <c r="D9" s="17">
        <v>8.0269999999999994E-2</v>
      </c>
      <c r="E9" s="29">
        <v>43.24</v>
      </c>
      <c r="F9" s="6"/>
      <c r="G9" s="6"/>
      <c r="H9" s="6"/>
      <c r="I9" s="9"/>
    </row>
    <row r="10" spans="1:9">
      <c r="A10" s="68" t="s">
        <v>21</v>
      </c>
      <c r="B10" s="69"/>
      <c r="C10" s="69"/>
      <c r="D10" s="69"/>
      <c r="E10" s="69"/>
      <c r="F10" s="69"/>
      <c r="G10" s="69"/>
      <c r="H10" s="69"/>
      <c r="I10" s="70"/>
    </row>
    <row r="11" spans="1:9" ht="15.75" thickBot="1">
      <c r="A11" s="5"/>
      <c r="B11" s="6"/>
      <c r="C11" s="16" t="s">
        <v>9</v>
      </c>
      <c r="D11" s="16" t="s">
        <v>10</v>
      </c>
      <c r="E11" s="16" t="s">
        <v>11</v>
      </c>
      <c r="F11" s="16" t="s">
        <v>12</v>
      </c>
      <c r="G11" s="16" t="s">
        <v>13</v>
      </c>
      <c r="H11" s="16" t="s">
        <v>14</v>
      </c>
      <c r="I11" s="21" t="s">
        <v>15</v>
      </c>
    </row>
    <row r="12" spans="1:9" ht="16.5" thickBot="1">
      <c r="A12" s="18"/>
      <c r="B12" s="26"/>
      <c r="C12" s="24" t="s">
        <v>0</v>
      </c>
      <c r="D12" s="24" t="s">
        <v>1</v>
      </c>
      <c r="E12" s="24" t="s">
        <v>2</v>
      </c>
      <c r="F12" s="24" t="s">
        <v>3</v>
      </c>
      <c r="G12" s="24" t="s">
        <v>4</v>
      </c>
      <c r="H12" s="24" t="s">
        <v>5</v>
      </c>
      <c r="I12" s="25" t="s">
        <v>6</v>
      </c>
    </row>
    <row r="13" spans="1:9" ht="15.75">
      <c r="A13" s="19" t="s">
        <v>9</v>
      </c>
      <c r="B13" s="27" t="s">
        <v>0</v>
      </c>
      <c r="C13" s="14">
        <v>5.5189999999999996E-3</v>
      </c>
      <c r="D13" s="14">
        <v>-5.8E-4</v>
      </c>
      <c r="E13" s="14">
        <v>1.299E-3</v>
      </c>
      <c r="F13" s="14">
        <v>-5.0200000000000002E-3</v>
      </c>
      <c r="G13" s="14">
        <v>1.557E-3</v>
      </c>
      <c r="H13" s="14">
        <v>8.7840000000000001E-3</v>
      </c>
      <c r="I13" s="22">
        <v>2.3939999999999999E-3</v>
      </c>
    </row>
    <row r="14" spans="1:9" ht="15.75">
      <c r="A14" s="19" t="s">
        <v>10</v>
      </c>
      <c r="B14" s="27" t="s">
        <v>1</v>
      </c>
      <c r="C14" s="14">
        <v>-5.8E-4</v>
      </c>
      <c r="D14" s="14">
        <v>3.8270000000000001E-3</v>
      </c>
      <c r="E14" s="14">
        <v>2.264E-3</v>
      </c>
      <c r="F14" s="14">
        <v>4.7699999999999999E-3</v>
      </c>
      <c r="G14" s="14">
        <v>-1.107E-2</v>
      </c>
      <c r="H14" s="14">
        <v>3.163E-3</v>
      </c>
      <c r="I14" s="22">
        <v>3.2959999999999999E-3</v>
      </c>
    </row>
    <row r="15" spans="1:9" ht="15.75">
      <c r="A15" s="19" t="s">
        <v>11</v>
      </c>
      <c r="B15" s="27" t="s">
        <v>2</v>
      </c>
      <c r="C15" s="14">
        <v>1.299E-3</v>
      </c>
      <c r="D15" s="14">
        <v>2.264E-3</v>
      </c>
      <c r="E15" s="14">
        <v>2.758E-3</v>
      </c>
      <c r="F15" s="14">
        <v>2.4190000000000001E-3</v>
      </c>
      <c r="G15" s="14">
        <v>-5.8199999999999997E-3</v>
      </c>
      <c r="H15" s="14">
        <v>2.7880000000000001E-3</v>
      </c>
      <c r="I15" s="22">
        <v>4.1549999999999998E-3</v>
      </c>
    </row>
    <row r="16" spans="1:9" ht="15.75">
      <c r="A16" s="19" t="s">
        <v>12</v>
      </c>
      <c r="B16" s="27" t="s">
        <v>3</v>
      </c>
      <c r="C16" s="14">
        <v>-5.0200000000000002E-3</v>
      </c>
      <c r="D16" s="14">
        <v>4.7699999999999999E-3</v>
      </c>
      <c r="E16" s="14">
        <v>2.4190000000000001E-3</v>
      </c>
      <c r="F16" s="14">
        <v>1.0211E-2</v>
      </c>
      <c r="G16" s="14">
        <v>-1.2789999999999999E-2</v>
      </c>
      <c r="H16" s="14">
        <v>-5.3099999999999996E-3</v>
      </c>
      <c r="I16" s="22">
        <v>3.1470000000000001E-3</v>
      </c>
    </row>
    <row r="17" spans="1:10" ht="15.75">
      <c r="A17" s="19" t="s">
        <v>13</v>
      </c>
      <c r="B17" s="27" t="s">
        <v>4</v>
      </c>
      <c r="C17" s="14">
        <v>1.557E-3</v>
      </c>
      <c r="D17" s="14">
        <v>-1.107E-2</v>
      </c>
      <c r="E17" s="14">
        <v>-5.8199999999999997E-3</v>
      </c>
      <c r="F17" s="14">
        <v>-1.2789999999999999E-2</v>
      </c>
      <c r="G17" s="14">
        <v>3.5682999999999999E-2</v>
      </c>
      <c r="H17" s="14">
        <v>-1.2919999999999999E-2</v>
      </c>
      <c r="I17" s="22">
        <v>-7.8300000000000002E-3</v>
      </c>
    </row>
    <row r="18" spans="1:10" ht="15.75">
      <c r="A18" s="19" t="s">
        <v>14</v>
      </c>
      <c r="B18" s="27" t="s">
        <v>5</v>
      </c>
      <c r="C18" s="14">
        <v>8.7840000000000001E-3</v>
      </c>
      <c r="D18" s="14">
        <v>3.163E-3</v>
      </c>
      <c r="E18" s="14">
        <v>2.7880000000000001E-3</v>
      </c>
      <c r="F18" s="14">
        <v>-5.3099999999999996E-3</v>
      </c>
      <c r="G18" s="14">
        <v>-1.2919999999999999E-2</v>
      </c>
      <c r="H18" s="14">
        <v>2.3584999999999998E-2</v>
      </c>
      <c r="I18" s="22">
        <v>4.5129999999999997E-3</v>
      </c>
    </row>
    <row r="19" spans="1:10" ht="16.5" thickBot="1">
      <c r="A19" s="20" t="s">
        <v>15</v>
      </c>
      <c r="B19" s="28" t="s">
        <v>6</v>
      </c>
      <c r="C19" s="4">
        <v>2.3939999999999999E-3</v>
      </c>
      <c r="D19" s="4">
        <v>3.2959999999999999E-3</v>
      </c>
      <c r="E19" s="4">
        <v>4.1549999999999998E-3</v>
      </c>
      <c r="F19" s="4">
        <v>3.1470000000000001E-3</v>
      </c>
      <c r="G19" s="4">
        <v>-7.8300000000000002E-3</v>
      </c>
      <c r="H19" s="4">
        <v>4.5129999999999997E-3</v>
      </c>
      <c r="I19" s="23">
        <v>6.4440000000000001E-3</v>
      </c>
    </row>
    <row r="20" spans="1:10" ht="15.75" thickBot="1">
      <c r="A20" s="10"/>
      <c r="B20" s="2"/>
      <c r="C20" s="2"/>
      <c r="D20" s="2"/>
      <c r="E20" s="2"/>
      <c r="F20" s="2"/>
      <c r="G20" s="2"/>
      <c r="H20" s="2"/>
      <c r="I20" s="11"/>
    </row>
    <row r="22" spans="1:10">
      <c r="G22" t="s">
        <v>48</v>
      </c>
    </row>
    <row r="23" spans="1:10">
      <c r="B23" t="str">
        <f>'SIMULAÇÃO CARTEIRA DE AÇÕES'!C6</f>
        <v>A</v>
      </c>
      <c r="C23">
        <f>VLOOKUP(B23,A3:E9,4)</f>
        <v>7.4289999999999995E-2</v>
      </c>
      <c r="D23" t="str">
        <f>B23</f>
        <v>A</v>
      </c>
      <c r="E23">
        <f>MAX(C23:C24)</f>
        <v>7.4289999999999995E-2</v>
      </c>
      <c r="F23" t="str">
        <f>VLOOKUP(E23,C23:D24,2)</f>
        <v>A</v>
      </c>
      <c r="G23" s="40">
        <f ca="1">RANDBETWEEN(7,9)/10</f>
        <v>0.9</v>
      </c>
      <c r="H23" s="41">
        <f ca="1">1-G23</f>
        <v>9.9999999999999978E-2</v>
      </c>
      <c r="I23" s="34">
        <f ca="1">G23*H25+H23*H26</f>
        <v>2.5835E-2</v>
      </c>
      <c r="J23">
        <f ca="1">SQRT(G23*G23*G25*G25+H23*H23*G26*G26+2*G23*H23*Plan3!N37)</f>
        <v>6.9747837508781885E-2</v>
      </c>
    </row>
    <row r="24" spans="1:10">
      <c r="B24" t="str">
        <f>'SIMULAÇÃO CARTEIRA DE AÇÕES'!C7</f>
        <v>B</v>
      </c>
      <c r="C24">
        <f>VLOOKUP(B24,A3:E9,4)</f>
        <v>6.1859999999999998E-2</v>
      </c>
      <c r="D24" t="str">
        <f>B24</f>
        <v>B</v>
      </c>
      <c r="G24" t="s">
        <v>8</v>
      </c>
      <c r="H24" t="s">
        <v>7</v>
      </c>
    </row>
    <row r="25" spans="1:10">
      <c r="F25" t="str">
        <f>F23</f>
        <v>A</v>
      </c>
      <c r="G25">
        <f>VLOOKUP(F25,Plan3!A3:D4,4)</f>
        <v>7.4289999999999995E-2</v>
      </c>
      <c r="H25">
        <f>VLOOKUP(F25,Plan3!A3:D4,3)</f>
        <v>2.7230000000000001E-2</v>
      </c>
    </row>
    <row r="26" spans="1:10">
      <c r="F26" t="str">
        <f>IF(F25=B23,B24,B23)</f>
        <v>B</v>
      </c>
      <c r="G26">
        <f>VLOOKUP(F26,A3:E9,4)</f>
        <v>6.1859999999999998E-2</v>
      </c>
      <c r="H26">
        <f>VLOOKUP(F26,Plan3!A3:D4,3)</f>
        <v>1.328E-2</v>
      </c>
    </row>
  </sheetData>
  <mergeCells count="2">
    <mergeCell ref="A10:I10"/>
    <mergeCell ref="A1:I1"/>
  </mergeCells>
  <pageMargins left="0.17" right="0.17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31"/>
  <sheetViews>
    <sheetView topLeftCell="A14" workbookViewId="0">
      <selection activeCell="J24" sqref="J24"/>
    </sheetView>
  </sheetViews>
  <sheetFormatPr defaultRowHeight="15"/>
  <cols>
    <col min="7" max="7" width="14.28515625" bestFit="1" customWidth="1"/>
    <col min="8" max="9" width="13.28515625" bestFit="1" customWidth="1"/>
    <col min="10" max="10" width="14.28515625" bestFit="1" customWidth="1"/>
    <col min="13" max="13" width="20.5703125" bestFit="1" customWidth="1"/>
    <col min="14" max="14" width="10" bestFit="1" customWidth="1"/>
  </cols>
  <sheetData>
    <row r="1" spans="1:13">
      <c r="A1" s="5"/>
      <c r="B1" s="6"/>
      <c r="C1" s="6"/>
      <c r="D1" s="6"/>
      <c r="E1" s="6"/>
      <c r="F1" s="6"/>
      <c r="G1" s="6">
        <f>IF(G2='BASE DE DADOS'!C12,3,IF(G2='BASE DE DADOS'!D12,4,IF(G2='BASE DE DADOS'!E12,5,IF(G2='BASE DE DADOS'!F12,6,IF(G2='BASE DE DADOS'!G12,7,IF(G2='BASE DE DADOS'!H12,8,9))))))</f>
        <v>3</v>
      </c>
      <c r="H1" s="6" t="str">
        <f>G2</f>
        <v>CEBR6</v>
      </c>
      <c r="I1" s="6" t="str">
        <f>G3</f>
        <v>RCSL3</v>
      </c>
      <c r="J1" s="9"/>
    </row>
    <row r="2" spans="1:13" ht="15.75">
      <c r="A2" s="5"/>
      <c r="B2" s="6"/>
      <c r="C2" s="6" t="s">
        <v>7</v>
      </c>
      <c r="D2" s="6" t="s">
        <v>8</v>
      </c>
      <c r="E2" s="6"/>
      <c r="F2" s="6" t="str">
        <f>A3</f>
        <v>A</v>
      </c>
      <c r="G2" s="6" t="str">
        <f>VLOOKUP(F2,'BASE DE DADOS'!A12:I19,2)</f>
        <v>CEBR6</v>
      </c>
      <c r="H2" s="3">
        <f>VLOOKUP(F2,'BASE DE DADOS'!A12:I19,G1)</f>
        <v>5.5189999999999996E-3</v>
      </c>
      <c r="I2" s="6">
        <f>H3</f>
        <v>-5.8E-4</v>
      </c>
      <c r="J2" s="9"/>
    </row>
    <row r="3" spans="1:13">
      <c r="A3" s="5" t="str">
        <f>'SIMULAÇÃO CARTEIRA DE AÇÕES'!C6</f>
        <v>A</v>
      </c>
      <c r="B3" s="6" t="str">
        <f>VLOOKUP(A3,'BASE DE DADOS'!A2:D9,2)</f>
        <v>CEBR6</v>
      </c>
      <c r="C3" s="13">
        <f>VLOOKUP(A3,'BASE DE DADOS'!A2:D9,3)</f>
        <v>2.7230000000000001E-2</v>
      </c>
      <c r="D3" s="13">
        <f>VLOOKUP(A3,'BASE DE DADOS'!A2:D9,4)</f>
        <v>7.4289999999999995E-2</v>
      </c>
      <c r="E3" s="6"/>
      <c r="F3" s="6" t="str">
        <f>A4</f>
        <v>B</v>
      </c>
      <c r="G3" s="6" t="str">
        <f>VLOOKUP(F3,'BASE DE DADOS'!A12:I19,2)</f>
        <v>RCSL3</v>
      </c>
      <c r="H3" s="6">
        <f>VLOOKUP(F3,'BASE DE DADOS'!A12:I19,G1)</f>
        <v>-5.8E-4</v>
      </c>
      <c r="I3" s="6">
        <f>VLOOKUP(F3,'BASE DE DADOS'!A12:I19,G4)</f>
        <v>3.8270000000000001E-3</v>
      </c>
      <c r="J3" s="9"/>
    </row>
    <row r="4" spans="1:13">
      <c r="A4" s="5" t="str">
        <f>'SIMULAÇÃO CARTEIRA DE AÇÕES'!C7</f>
        <v>B</v>
      </c>
      <c r="B4" s="6" t="str">
        <f>VLOOKUP(A4,'BASE DE DADOS'!A3:D10,2)</f>
        <v>RCSL3</v>
      </c>
      <c r="C4" s="13">
        <f>VLOOKUP(A4,'BASE DE DADOS'!A2:D9,3)</f>
        <v>1.328E-2</v>
      </c>
      <c r="D4" s="13">
        <f>VLOOKUP(A4,'BASE DE DADOS'!A2:D9,4)</f>
        <v>6.1859999999999998E-2</v>
      </c>
      <c r="E4" s="6"/>
      <c r="F4" s="6"/>
      <c r="G4" s="6">
        <f>IF(G3='BASE DE DADOS'!C12,3,IF(G3='BASE DE DADOS'!D12,4,IF(G3='BASE DE DADOS'!E12,5,IF(G3='BASE DE DADOS'!F12,6,IF(G3='BASE DE DADOS'!G12,7,IF(G3='BASE DE DADOS'!H12,8,9))))))</f>
        <v>4</v>
      </c>
      <c r="H4" s="6"/>
      <c r="I4" s="6"/>
      <c r="J4" s="9"/>
      <c r="M4" s="36"/>
    </row>
    <row r="5" spans="1:13">
      <c r="A5" s="5"/>
      <c r="B5" s="6"/>
      <c r="C5" s="6"/>
      <c r="D5" s="6"/>
      <c r="E5" s="6"/>
      <c r="F5" s="6"/>
      <c r="G5" s="6"/>
      <c r="H5" s="6"/>
      <c r="I5" s="6"/>
      <c r="J5" s="9"/>
      <c r="M5" s="37"/>
    </row>
    <row r="6" spans="1:13">
      <c r="B6" t="str">
        <f>'SIMULAÇÃO CARTEIRA DE AÇÕES'!C11</f>
        <v>A</v>
      </c>
      <c r="C6">
        <f>'SIMULAÇÃO CARTEIRA DE AÇÕES'!D11</f>
        <v>100</v>
      </c>
      <c r="D6" t="str">
        <f>'SIMULAÇÃO CARTEIRA DE AÇÕES'!E11</f>
        <v>CEBR6</v>
      </c>
      <c r="E6">
        <f>'SIMULAÇÃO CARTEIRA DE AÇÕES'!F11</f>
        <v>25</v>
      </c>
      <c r="F6">
        <f>'SIMULAÇÃO CARTEIRA DE AÇÕES'!G11</f>
        <v>2500</v>
      </c>
      <c r="G6">
        <f>F6/F8</f>
        <v>0.92936802973977695</v>
      </c>
    </row>
    <row r="7" spans="1:13">
      <c r="B7" t="str">
        <f>'SIMULAÇÃO CARTEIRA DE AÇÕES'!C12</f>
        <v>B</v>
      </c>
      <c r="C7">
        <f>'SIMULAÇÃO CARTEIRA DE AÇÕES'!D12</f>
        <v>100</v>
      </c>
      <c r="D7" t="str">
        <f>'SIMULAÇÃO CARTEIRA DE AÇÕES'!E12</f>
        <v>RCSL3</v>
      </c>
      <c r="E7">
        <f>'SIMULAÇÃO CARTEIRA DE AÇÕES'!F12</f>
        <v>1.9</v>
      </c>
      <c r="F7">
        <f>'SIMULAÇÃO CARTEIRA DE AÇÕES'!G12</f>
        <v>190</v>
      </c>
      <c r="G7">
        <f>F7/F8</f>
        <v>7.0631970260223054E-2</v>
      </c>
      <c r="K7" s="34">
        <f>B23*B23</f>
        <v>1.9783755034965991E-3</v>
      </c>
    </row>
    <row r="8" spans="1:13">
      <c r="F8">
        <f>SUM(F6:F7)</f>
        <v>2690</v>
      </c>
      <c r="G8">
        <f>SUM(G6:G7)</f>
        <v>1</v>
      </c>
    </row>
    <row r="9" spans="1:13">
      <c r="B9" t="s">
        <v>7</v>
      </c>
      <c r="C9" s="1">
        <f t="array" ref="C9">MMULT(C3:C4,TRANSPOSE(G6:G7))</f>
        <v>2.5306691449814126E-2</v>
      </c>
    </row>
    <row r="10" spans="1:13">
      <c r="B10" t="s">
        <v>8</v>
      </c>
      <c r="C10" s="1">
        <f t="array" ref="C10">SQRT(MMULT(TRANSPOSE(G6:G7),MMULT(H2:I3,G6:G7)))</f>
        <v>6.8628305748116555E-2</v>
      </c>
    </row>
    <row r="14" spans="1:13">
      <c r="A14" s="5"/>
      <c r="B14" s="6"/>
      <c r="C14" s="6"/>
      <c r="D14" s="6"/>
      <c r="E14" s="6"/>
      <c r="F14" s="6"/>
      <c r="G14" s="6"/>
      <c r="H14" s="6"/>
      <c r="I14" s="6"/>
      <c r="J14" s="9"/>
    </row>
    <row r="15" spans="1:13">
      <c r="A15" s="5"/>
      <c r="B15" s="6" t="str">
        <f>B3</f>
        <v>CEBR6</v>
      </c>
      <c r="C15" s="6" t="str">
        <f>B4</f>
        <v>RCSL3</v>
      </c>
      <c r="D15" s="6" t="s">
        <v>7</v>
      </c>
      <c r="E15" s="6" t="s">
        <v>8</v>
      </c>
      <c r="F15" s="6"/>
      <c r="G15" s="6" t="s">
        <v>16</v>
      </c>
      <c r="H15" s="6" t="str">
        <f>B3</f>
        <v>CEBR6</v>
      </c>
      <c r="I15" s="6" t="str">
        <f>B4</f>
        <v>RCSL3</v>
      </c>
      <c r="J15" s="9" t="s">
        <v>18</v>
      </c>
    </row>
    <row r="16" spans="1:13">
      <c r="A16" s="33">
        <f>B16+C16</f>
        <v>1</v>
      </c>
      <c r="B16" s="34">
        <f>K35</f>
        <v>0.51240924455599024</v>
      </c>
      <c r="C16" s="34">
        <f>1-B16</f>
        <v>0.48759075544400976</v>
      </c>
      <c r="D16" s="13">
        <f>MMULT(B16:C16,C3:C4)</f>
        <v>2.0428108961556064E-2</v>
      </c>
      <c r="E16" s="13">
        <f t="array" ref="E16">SQRT(MMULT(B16:C16,MMULT(H2:I3,TRANSPOSE(B16:C16))))</f>
        <v>4.5487517561464783E-2</v>
      </c>
      <c r="F16" s="6"/>
      <c r="G16" s="8">
        <v>100000</v>
      </c>
      <c r="H16" s="7">
        <f>B20*G16</f>
        <v>41945.5612309387</v>
      </c>
      <c r="I16" s="7">
        <f>C20*G16</f>
        <v>58054.4387690613</v>
      </c>
      <c r="J16" s="12">
        <f>H16+I16</f>
        <v>100000</v>
      </c>
    </row>
    <row r="17" spans="1:14">
      <c r="A17" s="5"/>
      <c r="B17" s="31">
        <f>(D4^2 - I2)/(D3^2+D4^2 - 2*I2)</f>
        <v>0.41945561230938699</v>
      </c>
      <c r="C17" s="31">
        <f>1-B17</f>
        <v>0.58054438769061301</v>
      </c>
      <c r="D17" s="32">
        <f t="array" ref="D17">MMULT(B17:C17,C3:C4)</f>
        <v>1.9131405791715947E-2</v>
      </c>
      <c r="E17" s="13">
        <f t="array" ref="E17">SQRT(MMULT(B17:C17,MMULT(H2:I3,TRANSPOSE(B17:C17))))</f>
        <v>4.4478933254930915E-2</v>
      </c>
      <c r="F17" s="6"/>
      <c r="G17" s="6"/>
      <c r="H17" s="7">
        <f>H16*NORMSINV(95%)*D3</f>
        <v>5125.5871803389346</v>
      </c>
      <c r="I17" s="7">
        <f>I16*NORMSINV(95%)*D4</f>
        <v>5907.0766109514152</v>
      </c>
      <c r="J17" s="12">
        <f>J16*NORMSINV(95%)*E20</f>
        <v>7316.133468730558</v>
      </c>
    </row>
    <row r="18" spans="1:14">
      <c r="A18" s="5"/>
      <c r="B18" s="6"/>
      <c r="C18" s="6"/>
      <c r="D18" s="6"/>
      <c r="E18" s="6"/>
      <c r="F18" s="6"/>
      <c r="G18" s="6"/>
      <c r="H18" s="6"/>
      <c r="I18" s="6"/>
      <c r="J18" s="9"/>
    </row>
    <row r="19" spans="1:14">
      <c r="A19" s="5"/>
      <c r="B19" s="6" t="str">
        <f>B15</f>
        <v>CEBR6</v>
      </c>
      <c r="C19" s="6" t="str">
        <f>C15</f>
        <v>RCSL3</v>
      </c>
      <c r="D19" s="6" t="s">
        <v>7</v>
      </c>
      <c r="E19" s="6" t="s">
        <v>8</v>
      </c>
      <c r="F19" s="6"/>
      <c r="G19" s="6" t="s">
        <v>17</v>
      </c>
      <c r="H19" s="7">
        <f>SUM(H17:I17)</f>
        <v>11032.66379129035</v>
      </c>
      <c r="I19" s="6"/>
      <c r="J19" s="9"/>
    </row>
    <row r="20" spans="1:14">
      <c r="A20" s="5">
        <f>B20+C20</f>
        <v>1</v>
      </c>
      <c r="B20" s="31">
        <f>B17</f>
        <v>0.41945561230938699</v>
      </c>
      <c r="C20" s="31">
        <f>C17</f>
        <v>0.58054438769061301</v>
      </c>
      <c r="D20" s="13">
        <f t="array" ref="D20">MMULT(B20:C20,C3:C4)</f>
        <v>1.9131405791715947E-2</v>
      </c>
      <c r="E20" s="13">
        <f t="array" ref="E20">SQRT(MMULT(B20:C20,MMULT(H2:I3,TRANSPOSE(B20:C20))))</f>
        <v>4.4478933254930915E-2</v>
      </c>
      <c r="F20" s="6"/>
      <c r="G20" s="6" t="s">
        <v>19</v>
      </c>
      <c r="H20" s="7">
        <f>H19-J17</f>
        <v>3716.5303225597918</v>
      </c>
      <c r="I20" s="6"/>
      <c r="J20" s="9"/>
    </row>
    <row r="21" spans="1:14">
      <c r="B21" t="s">
        <v>9</v>
      </c>
      <c r="C21" t="s">
        <v>10</v>
      </c>
      <c r="I21" s="34">
        <v>5.0000000000000001E-3</v>
      </c>
    </row>
    <row r="22" spans="1:14">
      <c r="A22" t="s">
        <v>40</v>
      </c>
      <c r="B22" s="34">
        <f>D20</f>
        <v>1.9131405791715947E-2</v>
      </c>
      <c r="C22" s="35">
        <f>M26</f>
        <v>2.1724812131396182E-2</v>
      </c>
      <c r="H22" t="s">
        <v>36</v>
      </c>
    </row>
    <row r="23" spans="1:14">
      <c r="A23" t="s">
        <v>8</v>
      </c>
      <c r="B23" s="34">
        <f>E20</f>
        <v>4.4478933254930915E-2</v>
      </c>
      <c r="C23" s="34">
        <f>N26</f>
        <v>4.838806280013782E-2</v>
      </c>
      <c r="H23" s="34">
        <f>C3-I21</f>
        <v>2.223E-2</v>
      </c>
      <c r="I23" t="s">
        <v>38</v>
      </c>
      <c r="J23">
        <f t="array" ref="J23:J24">MMULT(H29:I30,H23:H24)</f>
        <v>4.32414811718537</v>
      </c>
      <c r="K23">
        <f>J23/J25</f>
        <v>0.6053628768025936</v>
      </c>
    </row>
    <row r="24" spans="1:14">
      <c r="B24" t="s">
        <v>34</v>
      </c>
      <c r="C24" t="s">
        <v>35</v>
      </c>
      <c r="D24" t="s">
        <v>7</v>
      </c>
      <c r="E24" t="s">
        <v>8</v>
      </c>
      <c r="H24" s="34">
        <f>C4-I21</f>
        <v>8.2799999999999992E-3</v>
      </c>
      <c r="I24" t="s">
        <v>39</v>
      </c>
      <c r="J24">
        <v>2.8189197564587181</v>
      </c>
      <c r="K24">
        <f>J24/J25</f>
        <v>0.39463712319740646</v>
      </c>
    </row>
    <row r="25" spans="1:14">
      <c r="B25" s="30">
        <v>0</v>
      </c>
      <c r="C25" s="30">
        <f>1-B25</f>
        <v>1</v>
      </c>
      <c r="D25">
        <f t="array" ref="D25">MMULT(B25:C25,TRANSPOSE(B22:C22))</f>
        <v>2.1724812131396182E-2</v>
      </c>
      <c r="E25">
        <f t="array" ref="E25">SQRT(MMULT(B25:C25,MMULT($H$2:$I$3,TRANSPOSE(B25:C25))))</f>
        <v>6.1862751312886176E-2</v>
      </c>
      <c r="J25">
        <f>SUM(J23:J24)</f>
        <v>7.143067873644088</v>
      </c>
    </row>
    <row r="26" spans="1:14">
      <c r="K26" s="31">
        <f>K23</f>
        <v>0.6053628768025936</v>
      </c>
      <c r="L26" s="31">
        <f>K24</f>
        <v>0.39463712319740646</v>
      </c>
      <c r="M26" s="32">
        <f>MMULT(K26:L26,C3:C4)</f>
        <v>2.1724812131396182E-2</v>
      </c>
      <c r="N26" s="13">
        <f t="array" ref="N26">SQRT(MMULT(K26:L26,MMULT(H2:I3,TRANSPOSE(K26:L26))))</f>
        <v>4.838806280013782E-2</v>
      </c>
    </row>
    <row r="28" spans="1:14">
      <c r="H28" t="s">
        <v>37</v>
      </c>
    </row>
    <row r="29" spans="1:14">
      <c r="H29">
        <f t="array" ref="H29:I30">MINVERSE(H2:I3)</f>
        <v>184.12482229212264</v>
      </c>
      <c r="I29">
        <v>27.904990052111614</v>
      </c>
    </row>
    <row r="30" spans="1:14">
      <c r="H30">
        <v>27.904990052111607</v>
      </c>
      <c r="I30">
        <v>265.53041396138616</v>
      </c>
    </row>
    <row r="31" spans="1:14">
      <c r="K31" t="str">
        <f>B19</f>
        <v>CEBR6</v>
      </c>
      <c r="L31" t="str">
        <f>C19</f>
        <v>RCSL3</v>
      </c>
      <c r="M31" s="6" t="s">
        <v>7</v>
      </c>
      <c r="N31" s="6" t="s">
        <v>8</v>
      </c>
    </row>
    <row r="32" spans="1:14">
      <c r="J32" t="s">
        <v>41</v>
      </c>
      <c r="K32" s="34">
        <f>B20</f>
        <v>0.41945561230938699</v>
      </c>
      <c r="L32" s="34">
        <f>C20</f>
        <v>0.58054438769061301</v>
      </c>
      <c r="M32" s="34">
        <f>D17</f>
        <v>1.9131405791715947E-2</v>
      </c>
      <c r="N32" s="34">
        <f>E17</f>
        <v>4.4478933254930915E-2</v>
      </c>
    </row>
    <row r="33" spans="10:14">
      <c r="J33" t="s">
        <v>42</v>
      </c>
      <c r="K33" s="34">
        <f>K26</f>
        <v>0.6053628768025936</v>
      </c>
      <c r="L33" s="34">
        <f>L26</f>
        <v>0.39463712319740646</v>
      </c>
      <c r="M33" s="35">
        <f>M26</f>
        <v>2.1724812131396182E-2</v>
      </c>
      <c r="N33" s="34">
        <f>N26</f>
        <v>4.838806280013782E-2</v>
      </c>
    </row>
    <row r="35" spans="10:14">
      <c r="J35" t="s">
        <v>43</v>
      </c>
      <c r="K35" s="34">
        <f>AVERAGE(K32:K33)</f>
        <v>0.51240924455599024</v>
      </c>
      <c r="L35" s="34">
        <f>AVERAGE(L32:L33)</f>
        <v>0.48759075544400976</v>
      </c>
      <c r="M35" s="32">
        <f t="array" ref="M35">MMULT(K35:L35,C3:C4)</f>
        <v>2.0428108961556064E-2</v>
      </c>
      <c r="N35" s="13">
        <f t="array" ref="N35">SQRT(MMULT(K35:L35,MMULT(H2:I3,TRANSPOSE(K35:L35))))</f>
        <v>4.5487517561464783E-2</v>
      </c>
    </row>
    <row r="37" spans="10:14">
      <c r="M37" t="s">
        <v>44</v>
      </c>
      <c r="N37" s="38">
        <f>(N35*N35 - 0.25*N32*N32-0.25*N33*N33)/(2*0.25)</f>
        <v>1.9783384452857935E-3</v>
      </c>
    </row>
    <row r="45" spans="10:14">
      <c r="J45" t="s">
        <v>34</v>
      </c>
      <c r="K45" t="s">
        <v>35</v>
      </c>
      <c r="L45" t="s">
        <v>7</v>
      </c>
      <c r="M45" t="s">
        <v>8</v>
      </c>
    </row>
    <row r="46" spans="10:14">
      <c r="J46" s="30">
        <f t="shared" ref="J46:J51" si="0">J47-10%</f>
        <v>-2.2000000000000006</v>
      </c>
      <c r="K46" s="30">
        <f t="shared" ref="K46:K51" si="1">1-J46</f>
        <v>3.2000000000000006</v>
      </c>
      <c r="L46" s="35">
        <f>J46*$M$32+K46*$M$33</f>
        <v>2.7430306078692707E-2</v>
      </c>
      <c r="M46" s="1">
        <f>SQRT(J46*J46*$N$32*$N$32+K46*K46*$N$33*$N$33+2*J46*K46*$N$37)</f>
        <v>7.5473938892656217E-2</v>
      </c>
    </row>
    <row r="47" spans="10:14">
      <c r="J47" s="30">
        <f t="shared" si="0"/>
        <v>-2.1000000000000005</v>
      </c>
      <c r="K47" s="30">
        <f t="shared" si="1"/>
        <v>3.1000000000000005</v>
      </c>
      <c r="L47" s="35">
        <f t="shared" ref="L47:L51" si="2">J47*$M$32+K47*$M$33</f>
        <v>2.7170965444724679E-2</v>
      </c>
      <c r="M47" s="1">
        <f t="shared" ref="M47:M51" si="3">SQRT(J47*J47*$N$32*$N$32+K47*K47*$N$33*$N$33+2*J47*K47*$N$37)</f>
        <v>7.3943003900945561E-2</v>
      </c>
    </row>
    <row r="48" spans="10:14">
      <c r="J48" s="30">
        <f t="shared" si="0"/>
        <v>-2.0000000000000004</v>
      </c>
      <c r="K48" s="30">
        <f t="shared" si="1"/>
        <v>3.0000000000000004</v>
      </c>
      <c r="L48" s="35">
        <f t="shared" si="2"/>
        <v>2.6911624810756658E-2</v>
      </c>
      <c r="M48" s="1">
        <f t="shared" si="3"/>
        <v>7.2429843742117833E-2</v>
      </c>
    </row>
    <row r="49" spans="10:13">
      <c r="J49" s="30">
        <f t="shared" si="0"/>
        <v>-1.9000000000000006</v>
      </c>
      <c r="K49" s="30">
        <f t="shared" si="1"/>
        <v>2.9000000000000004</v>
      </c>
      <c r="L49" s="35">
        <f t="shared" si="2"/>
        <v>2.6652284176788631E-2</v>
      </c>
      <c r="M49" s="1">
        <f t="shared" si="3"/>
        <v>7.0935595914952757E-2</v>
      </c>
    </row>
    <row r="50" spans="10:13">
      <c r="J50" s="30">
        <f t="shared" si="0"/>
        <v>-1.8000000000000005</v>
      </c>
      <c r="K50" s="30">
        <f t="shared" si="1"/>
        <v>2.8000000000000007</v>
      </c>
      <c r="L50" s="35">
        <f t="shared" si="2"/>
        <v>2.639294354282061E-2</v>
      </c>
      <c r="M50" s="1">
        <f t="shared" si="3"/>
        <v>6.9461480950241933E-2</v>
      </c>
    </row>
    <row r="51" spans="10:13">
      <c r="J51" s="30">
        <f t="shared" si="0"/>
        <v>-1.7000000000000004</v>
      </c>
      <c r="K51" s="30">
        <f t="shared" si="1"/>
        <v>2.7</v>
      </c>
      <c r="L51" s="35">
        <f t="shared" si="2"/>
        <v>2.6133602908852575E-2</v>
      </c>
      <c r="M51" s="1">
        <f t="shared" si="3"/>
        <v>6.800880802132675E-2</v>
      </c>
    </row>
    <row r="52" spans="10:13">
      <c r="J52" s="30">
        <f t="shared" ref="J52:J57" si="4">J53-10%</f>
        <v>-1.6000000000000003</v>
      </c>
      <c r="K52" s="30">
        <f t="shared" ref="K52:K57" si="5">1-J52</f>
        <v>2.6000000000000005</v>
      </c>
      <c r="L52" s="35">
        <f t="shared" ref="L52:L57" si="6">J52*$M$32+K52*$M$33</f>
        <v>2.5874262274884562E-2</v>
      </c>
      <c r="M52" s="1">
        <f t="shared" ref="M52:M57" si="7">SQRT(J52*J52*$N$32*$N$32+K52*K52*$N$33*$N$33+2*J52*K52*$N$37)</f>
        <v>6.657898066095666E-2</v>
      </c>
    </row>
    <row r="53" spans="10:13">
      <c r="J53" s="30">
        <f t="shared" si="4"/>
        <v>-1.5000000000000002</v>
      </c>
      <c r="K53" s="30">
        <f t="shared" si="5"/>
        <v>2.5</v>
      </c>
      <c r="L53" s="35">
        <f t="shared" si="6"/>
        <v>2.561492164091653E-2</v>
      </c>
      <c r="M53" s="1">
        <f t="shared" si="7"/>
        <v>6.5173502498422672E-2</v>
      </c>
    </row>
    <row r="54" spans="10:13">
      <c r="J54" s="30">
        <f t="shared" si="4"/>
        <v>-1.4000000000000001</v>
      </c>
      <c r="K54" s="30">
        <f t="shared" si="5"/>
        <v>2.4000000000000004</v>
      </c>
      <c r="L54" s="35">
        <f t="shared" si="6"/>
        <v>2.535558100694852E-2</v>
      </c>
      <c r="M54" s="1">
        <f t="shared" si="7"/>
        <v>6.3793982903258772E-2</v>
      </c>
    </row>
    <row r="55" spans="10:13">
      <c r="J55" s="30">
        <f t="shared" si="4"/>
        <v>-1.3</v>
      </c>
      <c r="K55" s="30">
        <f t="shared" si="5"/>
        <v>2.2999999999999998</v>
      </c>
      <c r="L55" s="35">
        <f t="shared" si="6"/>
        <v>2.5096240372980482E-2</v>
      </c>
      <c r="M55" s="1">
        <f t="shared" si="7"/>
        <v>6.2442142388775705E-2</v>
      </c>
    </row>
    <row r="56" spans="10:13">
      <c r="J56" s="30">
        <f t="shared" si="4"/>
        <v>-1.2</v>
      </c>
      <c r="K56" s="30">
        <f t="shared" si="5"/>
        <v>2.2000000000000002</v>
      </c>
      <c r="L56" s="35">
        <f t="shared" si="6"/>
        <v>2.4836899739012468E-2</v>
      </c>
      <c r="M56" s="1">
        <f t="shared" si="7"/>
        <v>6.1119817589947938E-2</v>
      </c>
    </row>
    <row r="57" spans="10:13">
      <c r="J57" s="30">
        <f t="shared" si="4"/>
        <v>-1.0999999999999999</v>
      </c>
      <c r="K57" s="30">
        <f t="shared" si="5"/>
        <v>2.0999999999999996</v>
      </c>
      <c r="L57" s="35">
        <f t="shared" si="6"/>
        <v>2.457755910504443E-2</v>
      </c>
      <c r="M57" s="1">
        <f t="shared" si="7"/>
        <v>5.9828965585628967E-2</v>
      </c>
    </row>
    <row r="58" spans="10:13">
      <c r="J58" s="30">
        <f t="shared" ref="J58:J66" si="8">J59-10%</f>
        <v>-0.99999999999999989</v>
      </c>
      <c r="K58" s="30">
        <f t="shared" ref="K58:K67" si="9">1-J58</f>
        <v>2</v>
      </c>
      <c r="L58" s="35">
        <f t="shared" ref="L58:L67" si="10">J58*$M$32+K58*$M$33</f>
        <v>2.431821847107642E-2</v>
      </c>
      <c r="M58" s="1">
        <f t="shared" ref="M58:M67" si="11">SQRT(J58*J58*$N$32*$N$32+K58*K58*$N$33*$N$33+2*J58*K58*$N$37)</f>
        <v>5.8571667285076942E-2</v>
      </c>
    </row>
    <row r="59" spans="10:13">
      <c r="J59" s="30">
        <f t="shared" si="8"/>
        <v>-0.89999999999999991</v>
      </c>
      <c r="K59" s="30">
        <f t="shared" si="9"/>
        <v>1.9</v>
      </c>
      <c r="L59" s="35">
        <f t="shared" si="10"/>
        <v>2.4058877837108392E-2</v>
      </c>
      <c r="M59" s="1">
        <f t="shared" si="11"/>
        <v>5.7350129544322968E-2</v>
      </c>
    </row>
    <row r="60" spans="10:13">
      <c r="J60" s="30">
        <f t="shared" si="8"/>
        <v>-0.79999999999999993</v>
      </c>
      <c r="K60" s="30">
        <f t="shared" si="9"/>
        <v>1.7999999999999998</v>
      </c>
      <c r="L60" s="35">
        <f t="shared" si="10"/>
        <v>2.3799537203140365E-2</v>
      </c>
      <c r="M60" s="1">
        <f t="shared" si="11"/>
        <v>5.6166685620899888E-2</v>
      </c>
    </row>
    <row r="61" spans="10:13">
      <c r="J61" s="30">
        <f t="shared" si="8"/>
        <v>-0.7</v>
      </c>
      <c r="K61" s="30">
        <f t="shared" si="9"/>
        <v>1.7</v>
      </c>
      <c r="L61" s="35">
        <f t="shared" si="10"/>
        <v>2.3540196569172347E-2</v>
      </c>
      <c r="M61" s="1">
        <f t="shared" si="11"/>
        <v>5.5023793518921255E-2</v>
      </c>
    </row>
    <row r="62" spans="10:13">
      <c r="J62" s="30">
        <f t="shared" si="8"/>
        <v>-0.6</v>
      </c>
      <c r="K62" s="30">
        <f t="shared" si="9"/>
        <v>1.6</v>
      </c>
      <c r="L62" s="35">
        <f t="shared" si="10"/>
        <v>2.3280855935204327E-2</v>
      </c>
      <c r="M62" s="1">
        <f t="shared" si="11"/>
        <v>5.3924031724994957E-2</v>
      </c>
    </row>
    <row r="63" spans="10:13">
      <c r="J63" s="30">
        <f t="shared" si="8"/>
        <v>-0.5</v>
      </c>
      <c r="K63" s="30">
        <f t="shared" si="9"/>
        <v>1.5</v>
      </c>
      <c r="L63" s="35">
        <f t="shared" si="10"/>
        <v>2.3021515301236299E-2</v>
      </c>
      <c r="M63" s="1">
        <f t="shared" si="11"/>
        <v>5.2870091795202537E-2</v>
      </c>
    </row>
    <row r="64" spans="10:13">
      <c r="J64" s="30">
        <f t="shared" si="8"/>
        <v>-0.4</v>
      </c>
      <c r="K64" s="30">
        <f t="shared" si="9"/>
        <v>1.4</v>
      </c>
      <c r="L64" s="35">
        <f t="shared" si="10"/>
        <v>2.2762174667268271E-2</v>
      </c>
      <c r="M64" s="1">
        <f t="shared" si="11"/>
        <v>5.1864767232462597E-2</v>
      </c>
    </row>
    <row r="65" spans="7:13">
      <c r="J65" s="30">
        <f t="shared" si="8"/>
        <v>-0.30000000000000004</v>
      </c>
      <c r="K65" s="30">
        <f t="shared" si="9"/>
        <v>1.3</v>
      </c>
      <c r="L65" s="35">
        <f t="shared" si="10"/>
        <v>2.2502834033300251E-2</v>
      </c>
      <c r="M65" s="1">
        <f t="shared" si="11"/>
        <v>5.0910938101859933E-2</v>
      </c>
    </row>
    <row r="66" spans="7:13">
      <c r="J66" s="30">
        <f t="shared" si="8"/>
        <v>-0.2</v>
      </c>
      <c r="K66" s="30">
        <f t="shared" si="9"/>
        <v>1.2</v>
      </c>
      <c r="L66" s="35">
        <f t="shared" si="10"/>
        <v>2.2243493399332227E-2</v>
      </c>
      <c r="M66" s="1">
        <f t="shared" si="11"/>
        <v>5.001155088011968E-2</v>
      </c>
    </row>
    <row r="67" spans="7:13">
      <c r="J67" s="30">
        <f>J68-10%</f>
        <v>-0.1</v>
      </c>
      <c r="K67" s="30">
        <f t="shared" si="9"/>
        <v>1.1000000000000001</v>
      </c>
      <c r="L67" s="35">
        <f t="shared" si="10"/>
        <v>2.1984152765364209E-2</v>
      </c>
      <c r="M67" s="1">
        <f t="shared" si="11"/>
        <v>4.9169593135877078E-2</v>
      </c>
    </row>
    <row r="68" spans="7:13">
      <c r="J68" s="30">
        <v>0</v>
      </c>
      <c r="K68" s="30">
        <f t="shared" ref="K68:K78" si="12">1-J68</f>
        <v>1</v>
      </c>
      <c r="L68" s="35">
        <f>J68*$M$32+K68*$M$33</f>
        <v>2.1724812131396182E-2</v>
      </c>
      <c r="M68" s="1">
        <f>SQRT(J68*J68*$N$32*$N$32+K68*K68*$N$33*$N$33+2*J68*K68*$N$37)</f>
        <v>4.838806280013782E-2</v>
      </c>
    </row>
    <row r="69" spans="7:13">
      <c r="J69" s="30">
        <f>J68+10%</f>
        <v>0.1</v>
      </c>
      <c r="K69" s="30">
        <f t="shared" si="12"/>
        <v>0.9</v>
      </c>
      <c r="L69" s="35">
        <f t="shared" ref="L69:L78" si="13">J69*$M$32+K69*$M$33</f>
        <v>2.1465471497428158E-2</v>
      </c>
      <c r="M69" s="1">
        <f t="shared" ref="M69:M78" si="14">SQRT(J69*J69*$N$32*$N$32+K69*K69*$N$33*$N$33+2*J69*K69*$N$37)</f>
        <v>4.766993201843249E-2</v>
      </c>
    </row>
    <row r="70" spans="7:13">
      <c r="J70" s="30">
        <f t="shared" ref="J70:J77" si="15">J69+10%</f>
        <v>0.2</v>
      </c>
      <c r="K70" s="30">
        <f t="shared" si="12"/>
        <v>0.8</v>
      </c>
      <c r="L70" s="35">
        <f t="shared" si="13"/>
        <v>2.1206130863460137E-2</v>
      </c>
      <c r="M70" s="1">
        <f t="shared" si="14"/>
        <v>4.7018105878728997E-2</v>
      </c>
    </row>
    <row r="71" spans="7:13">
      <c r="J71" s="30">
        <f t="shared" si="15"/>
        <v>0.30000000000000004</v>
      </c>
      <c r="K71" s="30">
        <f t="shared" si="12"/>
        <v>0.7</v>
      </c>
      <c r="L71" s="35">
        <f t="shared" si="13"/>
        <v>2.0946790229492113E-2</v>
      </c>
      <c r="M71" s="1">
        <f t="shared" si="14"/>
        <v>4.6435376674409209E-2</v>
      </c>
    </row>
    <row r="72" spans="7:13">
      <c r="J72" s="30">
        <f t="shared" si="15"/>
        <v>0.4</v>
      </c>
      <c r="K72" s="30">
        <f t="shared" si="12"/>
        <v>0.6</v>
      </c>
      <c r="L72" s="35">
        <f t="shared" si="13"/>
        <v>2.0687449595524088E-2</v>
      </c>
      <c r="M72" s="1">
        <f t="shared" si="14"/>
        <v>4.5924374770427372E-2</v>
      </c>
    </row>
    <row r="73" spans="7:13">
      <c r="J73" s="30">
        <f t="shared" si="15"/>
        <v>0.5</v>
      </c>
      <c r="K73" s="30">
        <f t="shared" si="12"/>
        <v>0.5</v>
      </c>
      <c r="L73" s="35">
        <f t="shared" si="13"/>
        <v>2.0428108961556064E-2</v>
      </c>
      <c r="M73" s="1">
        <f t="shared" si="14"/>
        <v>4.5487517561464783E-2</v>
      </c>
    </row>
    <row r="74" spans="7:13">
      <c r="J74" s="30">
        <f t="shared" si="15"/>
        <v>0.6</v>
      </c>
      <c r="K74" s="30">
        <f t="shared" si="12"/>
        <v>0.4</v>
      </c>
      <c r="L74" s="35">
        <f t="shared" si="13"/>
        <v>2.0168768327588044E-2</v>
      </c>
      <c r="M74" s="1">
        <f t="shared" si="14"/>
        <v>4.5126958400095722E-2</v>
      </c>
    </row>
    <row r="75" spans="7:13">
      <c r="G75" s="39">
        <f ca="1">RANDBETWEEN(7,9)/10</f>
        <v>0.8</v>
      </c>
      <c r="H75">
        <f ca="1">VLOOKUP(G75,J74:M77,3)</f>
        <v>1.9650087059651995E-2</v>
      </c>
      <c r="I75">
        <f ca="1">VLOOKUP(G75,J74:M77,4)</f>
        <v>4.464173842483378E-2</v>
      </c>
      <c r="J75" s="30">
        <f t="shared" si="15"/>
        <v>0.7</v>
      </c>
      <c r="K75" s="30">
        <f t="shared" si="12"/>
        <v>0.30000000000000004</v>
      </c>
      <c r="L75" s="35">
        <f t="shared" si="13"/>
        <v>1.9909427693620016E-2</v>
      </c>
      <c r="M75" s="1">
        <f t="shared" si="14"/>
        <v>4.484453767933029E-2</v>
      </c>
    </row>
    <row r="76" spans="7:13">
      <c r="J76" s="30">
        <f t="shared" si="15"/>
        <v>0.79999999999999993</v>
      </c>
      <c r="K76" s="30">
        <f t="shared" si="12"/>
        <v>0.20000000000000007</v>
      </c>
      <c r="L76" s="35">
        <f t="shared" si="13"/>
        <v>1.9650087059651995E-2</v>
      </c>
      <c r="M76" s="1">
        <f t="shared" si="14"/>
        <v>4.464173842483378E-2</v>
      </c>
    </row>
    <row r="77" spans="7:13">
      <c r="J77" s="30">
        <f t="shared" si="15"/>
        <v>0.89999999999999991</v>
      </c>
      <c r="K77" s="30">
        <f t="shared" si="12"/>
        <v>0.10000000000000009</v>
      </c>
      <c r="L77" s="35">
        <f t="shared" si="13"/>
        <v>1.9390746425683971E-2</v>
      </c>
      <c r="M77" s="1">
        <f t="shared" si="14"/>
        <v>4.4519648742989755E-2</v>
      </c>
    </row>
    <row r="78" spans="7:13">
      <c r="J78" s="30">
        <f>J77+10%</f>
        <v>0.99999999999999989</v>
      </c>
      <c r="K78" s="30">
        <f t="shared" si="12"/>
        <v>0</v>
      </c>
      <c r="L78" s="35">
        <f t="shared" si="13"/>
        <v>1.9131405791715943E-2</v>
      </c>
      <c r="M78" s="1">
        <f t="shared" si="14"/>
        <v>4.4478933254930915E-2</v>
      </c>
    </row>
    <row r="79" spans="7:13">
      <c r="J79" s="30">
        <f t="shared" ref="J79:J88" si="16">J78+10%</f>
        <v>1.0999999999999999</v>
      </c>
      <c r="K79" s="30">
        <f t="shared" ref="K79:K104" si="17">1-J79</f>
        <v>-9.9999999999999867E-2</v>
      </c>
      <c r="L79" s="35">
        <f t="shared" ref="L79:L88" si="18">J79*$M$32+K79*$M$33</f>
        <v>1.8872065157747926E-2</v>
      </c>
      <c r="M79" s="1">
        <f t="shared" ref="M79:M88" si="19">SQRT(J79*J79*$N$32*$N$32+K79*K79*$N$33*$N$33+2*J79*K79*$N$37)</f>
        <v>4.4519815222926425E-2</v>
      </c>
    </row>
    <row r="80" spans="7:13">
      <c r="J80" s="30">
        <f t="shared" si="16"/>
        <v>1.2</v>
      </c>
      <c r="K80" s="30">
        <f t="shared" si="17"/>
        <v>-0.19999999999999996</v>
      </c>
      <c r="L80" s="35">
        <f t="shared" si="18"/>
        <v>1.8612724523779902E-2</v>
      </c>
      <c r="M80" s="1">
        <f t="shared" si="19"/>
        <v>4.4642070473488629E-2</v>
      </c>
    </row>
    <row r="81" spans="10:13">
      <c r="J81" s="30">
        <f t="shared" si="16"/>
        <v>1.3</v>
      </c>
      <c r="K81" s="30">
        <f t="shared" si="17"/>
        <v>-0.30000000000000004</v>
      </c>
      <c r="L81" s="35">
        <f t="shared" si="18"/>
        <v>1.8353383889811874E-2</v>
      </c>
      <c r="M81" s="1">
        <f t="shared" si="19"/>
        <v>4.4845033498993409E-2</v>
      </c>
    </row>
    <row r="82" spans="10:13">
      <c r="J82" s="30">
        <f t="shared" si="16"/>
        <v>1.4000000000000001</v>
      </c>
      <c r="K82" s="30">
        <f t="shared" si="17"/>
        <v>-0.40000000000000013</v>
      </c>
      <c r="L82" s="35">
        <f t="shared" si="18"/>
        <v>1.809404325584385E-2</v>
      </c>
      <c r="M82" s="1">
        <f t="shared" si="19"/>
        <v>4.5127615354472905E-2</v>
      </c>
    </row>
    <row r="83" spans="10:13">
      <c r="J83" s="30">
        <f t="shared" si="16"/>
        <v>1.5000000000000002</v>
      </c>
      <c r="K83" s="30">
        <f t="shared" si="17"/>
        <v>-0.50000000000000022</v>
      </c>
      <c r="L83" s="35">
        <f t="shared" si="18"/>
        <v>1.7834702621875829E-2</v>
      </c>
      <c r="M83" s="1">
        <f t="shared" si="19"/>
        <v>4.5488332243842251E-2</v>
      </c>
    </row>
    <row r="84" spans="10:13">
      <c r="J84" s="30">
        <f t="shared" si="16"/>
        <v>1.6000000000000003</v>
      </c>
      <c r="K84" s="30">
        <f t="shared" si="17"/>
        <v>-0.60000000000000031</v>
      </c>
      <c r="L84" s="35">
        <f t="shared" si="18"/>
        <v>1.7575361987907805E-2</v>
      </c>
      <c r="M84" s="1">
        <f t="shared" si="19"/>
        <v>4.592534308810986E-2</v>
      </c>
    </row>
    <row r="85" spans="10:13">
      <c r="J85" s="30">
        <f t="shared" si="16"/>
        <v>1.7000000000000004</v>
      </c>
      <c r="K85" s="30">
        <f t="shared" si="17"/>
        <v>-0.7000000000000004</v>
      </c>
      <c r="L85" s="35">
        <f t="shared" si="18"/>
        <v>1.7316021353939785E-2</v>
      </c>
      <c r="M85" s="1">
        <f t="shared" si="19"/>
        <v>4.6436493944790061E-2</v>
      </c>
    </row>
    <row r="86" spans="10:13">
      <c r="J86" s="30">
        <f t="shared" si="16"/>
        <v>1.8000000000000005</v>
      </c>
      <c r="K86" s="30">
        <f t="shared" si="17"/>
        <v>-0.80000000000000049</v>
      </c>
      <c r="L86" s="35">
        <f t="shared" si="18"/>
        <v>1.7056680719971757E-2</v>
      </c>
      <c r="M86" s="1">
        <f t="shared" si="19"/>
        <v>4.7019366932126473E-2</v>
      </c>
    </row>
    <row r="87" spans="10:13">
      <c r="J87" s="30">
        <f t="shared" si="16"/>
        <v>1.9000000000000006</v>
      </c>
      <c r="K87" s="30">
        <f t="shared" si="17"/>
        <v>-0.90000000000000058</v>
      </c>
      <c r="L87" s="35">
        <f t="shared" si="18"/>
        <v>1.6797340086003733E-2</v>
      </c>
      <c r="M87" s="1">
        <f t="shared" si="19"/>
        <v>4.7671331303005132E-2</v>
      </c>
    </row>
    <row r="88" spans="10:13">
      <c r="J88" s="30">
        <f t="shared" si="16"/>
        <v>2.0000000000000004</v>
      </c>
      <c r="K88" s="30">
        <f t="shared" si="17"/>
        <v>-1.0000000000000004</v>
      </c>
      <c r="L88" s="35">
        <f t="shared" si="18"/>
        <v>1.6537999452035709E-2</v>
      </c>
      <c r="M88" s="1">
        <f t="shared" si="19"/>
        <v>4.8389594484695826E-2</v>
      </c>
    </row>
    <row r="89" spans="10:13">
      <c r="J89" s="30">
        <f t="shared" ref="J89:J93" si="20">J88+10%</f>
        <v>2.1000000000000005</v>
      </c>
      <c r="K89" s="30">
        <f t="shared" si="17"/>
        <v>-1.1000000000000005</v>
      </c>
      <c r="L89" s="35">
        <f t="shared" ref="L89:L93" si="21">J89*$M$32+K89*$M$33</f>
        <v>1.6278658818067688E-2</v>
      </c>
      <c r="M89" s="1">
        <f t="shared" ref="M89:M93" si="22">SQRT(J89*J89*$N$32*$N$32+K89*K89*$N$33*$N$33+2*J89*K89*$N$37)</f>
        <v>4.9171251207135593E-2</v>
      </c>
    </row>
    <row r="90" spans="10:13">
      <c r="J90" s="30">
        <f t="shared" si="20"/>
        <v>2.2000000000000006</v>
      </c>
      <c r="K90" s="30">
        <f t="shared" si="17"/>
        <v>-1.2000000000000006</v>
      </c>
      <c r="L90" s="35">
        <f t="shared" si="21"/>
        <v>1.6019318184099664E-2</v>
      </c>
      <c r="M90" s="1">
        <f t="shared" si="22"/>
        <v>5.0013329231782477E-2</v>
      </c>
    </row>
    <row r="91" spans="10:13">
      <c r="J91" s="30">
        <f t="shared" si="20"/>
        <v>2.3000000000000007</v>
      </c>
      <c r="K91" s="30">
        <f t="shared" si="17"/>
        <v>-1.3000000000000007</v>
      </c>
      <c r="L91" s="35">
        <f t="shared" si="21"/>
        <v>1.5759977550131643E-2</v>
      </c>
      <c r="M91" s="1">
        <f t="shared" si="22"/>
        <v>5.091283061378149E-2</v>
      </c>
    </row>
    <row r="92" spans="10:13">
      <c r="J92" s="30">
        <f t="shared" si="20"/>
        <v>2.4000000000000008</v>
      </c>
      <c r="K92" s="30">
        <f t="shared" si="17"/>
        <v>-1.4000000000000008</v>
      </c>
      <c r="L92" s="35">
        <f t="shared" si="21"/>
        <v>1.5500636916163615E-2</v>
      </c>
      <c r="M92" s="1">
        <f t="shared" si="22"/>
        <v>5.1866767838935561E-2</v>
      </c>
    </row>
    <row r="93" spans="10:13">
      <c r="J93" s="30">
        <f t="shared" si="20"/>
        <v>2.5000000000000009</v>
      </c>
      <c r="K93" s="30">
        <f t="shared" si="17"/>
        <v>-1.5000000000000009</v>
      </c>
      <c r="L93" s="35">
        <f t="shared" si="21"/>
        <v>1.5241296282195588E-2</v>
      </c>
      <c r="M93" s="1">
        <f t="shared" si="22"/>
        <v>5.2872194542102936E-2</v>
      </c>
    </row>
    <row r="94" spans="10:13">
      <c r="J94" s="30">
        <f t="shared" ref="J94:J101" si="23">J93+10%</f>
        <v>2.600000000000001</v>
      </c>
      <c r="K94" s="30">
        <f t="shared" si="17"/>
        <v>-1.600000000000001</v>
      </c>
      <c r="L94" s="35">
        <f t="shared" ref="L94:L101" si="24">J94*$M$32+K94*$M$33</f>
        <v>1.4981955648227567E-2</v>
      </c>
      <c r="M94" s="1">
        <f t="shared" ref="M94:M101" si="25">SQRT(J94*J94*$N$32*$N$32+K94*K94*$N$33*$N$33+2*J94*K94*$N$37)</f>
        <v>5.392623081606409E-2</v>
      </c>
    </row>
    <row r="95" spans="10:13">
      <c r="J95" s="30">
        <f t="shared" si="23"/>
        <v>2.7000000000000011</v>
      </c>
      <c r="K95" s="30">
        <f t="shared" si="17"/>
        <v>-1.7000000000000011</v>
      </c>
      <c r="L95" s="35">
        <f t="shared" si="24"/>
        <v>1.4722615014259539E-2</v>
      </c>
      <c r="M95" s="1">
        <f t="shared" si="25"/>
        <v>5.5026083351864721E-2</v>
      </c>
    </row>
    <row r="96" spans="10:13">
      <c r="J96" s="30">
        <f t="shared" si="23"/>
        <v>2.8000000000000012</v>
      </c>
      <c r="K96" s="30">
        <f t="shared" si="17"/>
        <v>-1.8000000000000012</v>
      </c>
      <c r="L96" s="35">
        <f t="shared" si="24"/>
        <v>1.4463274380291526E-2</v>
      </c>
      <c r="M96" s="1">
        <f t="shared" si="25"/>
        <v>5.6169060814249015E-2</v>
      </c>
    </row>
    <row r="97" spans="10:13">
      <c r="J97" s="30">
        <f t="shared" si="23"/>
        <v>2.9000000000000012</v>
      </c>
      <c r="K97" s="30">
        <f t="shared" si="17"/>
        <v>-1.9000000000000012</v>
      </c>
      <c r="L97" s="35">
        <f t="shared" si="24"/>
        <v>1.4203933746323498E-2</v>
      </c>
      <c r="M97" s="1">
        <f t="shared" si="25"/>
        <v>5.7352584956153023E-2</v>
      </c>
    </row>
    <row r="98" spans="10:13">
      <c r="J98" s="30">
        <f t="shared" si="23"/>
        <v>3.0000000000000013</v>
      </c>
      <c r="K98" s="30">
        <f t="shared" si="17"/>
        <v>-2.0000000000000013</v>
      </c>
      <c r="L98" s="35">
        <f t="shared" si="24"/>
        <v>1.3944593112355477E-2</v>
      </c>
      <c r="M98" s="1">
        <f t="shared" si="25"/>
        <v>5.8574198024729206E-2</v>
      </c>
    </row>
    <row r="99" spans="10:13">
      <c r="J99" s="30">
        <f t="shared" si="23"/>
        <v>3.1000000000000014</v>
      </c>
      <c r="K99" s="30">
        <f t="shared" si="17"/>
        <v>-2.1000000000000014</v>
      </c>
      <c r="L99" s="35">
        <f t="shared" si="24"/>
        <v>1.368525247838745E-2</v>
      </c>
      <c r="M99" s="1">
        <f t="shared" si="25"/>
        <v>5.983156701956871E-2</v>
      </c>
    </row>
    <row r="100" spans="10:13">
      <c r="J100" s="30">
        <f t="shared" si="23"/>
        <v>3.2000000000000015</v>
      </c>
      <c r="K100" s="30">
        <f t="shared" si="17"/>
        <v>-2.2000000000000015</v>
      </c>
      <c r="L100" s="35">
        <f t="shared" si="24"/>
        <v>1.3425911844419429E-2</v>
      </c>
      <c r="M100" s="1">
        <f t="shared" si="25"/>
        <v>6.1122485342822885E-2</v>
      </c>
    </row>
    <row r="101" spans="10:13">
      <c r="J101" s="30">
        <f t="shared" si="23"/>
        <v>3.3000000000000016</v>
      </c>
      <c r="K101" s="30">
        <f t="shared" si="17"/>
        <v>-2.3000000000000016</v>
      </c>
      <c r="L101" s="35">
        <f t="shared" si="24"/>
        <v>1.3166571210451408E-2</v>
      </c>
      <c r="M101" s="1">
        <f t="shared" si="25"/>
        <v>6.2444872340645871E-2</v>
      </c>
    </row>
    <row r="102" spans="10:13">
      <c r="J102" s="30">
        <f t="shared" ref="J102:J104" si="26">J101+10%</f>
        <v>3.4000000000000017</v>
      </c>
      <c r="K102" s="30">
        <f t="shared" si="17"/>
        <v>-2.4000000000000017</v>
      </c>
      <c r="L102" s="35">
        <f t="shared" ref="L102:L104" si="27">J102*$M$32+K102*$M$33</f>
        <v>1.2907230576483381E-2</v>
      </c>
      <c r="M102" s="1">
        <f t="shared" ref="M102:M104" si="28">SQRT(J102*J102*$N$32*$N$32+K102*K102*$N$33*$N$33+2*J102*K102*$N$37)</f>
        <v>6.3796771183853879E-2</v>
      </c>
    </row>
    <row r="103" spans="10:13">
      <c r="J103" s="30">
        <f t="shared" si="26"/>
        <v>3.5000000000000018</v>
      </c>
      <c r="K103" s="30">
        <f t="shared" si="17"/>
        <v>-2.5000000000000018</v>
      </c>
      <c r="L103" s="35">
        <f t="shared" si="27"/>
        <v>1.2647889942515353E-2</v>
      </c>
      <c r="M103" s="1">
        <f t="shared" si="28"/>
        <v>6.5176345479168812E-2</v>
      </c>
    </row>
    <row r="104" spans="10:13">
      <c r="J104" s="30">
        <f t="shared" si="26"/>
        <v>3.6000000000000019</v>
      </c>
      <c r="K104" s="30">
        <f t="shared" si="17"/>
        <v>-2.6000000000000019</v>
      </c>
      <c r="L104" s="35">
        <f t="shared" si="27"/>
        <v>1.2388549308547332E-2</v>
      </c>
      <c r="M104" s="1">
        <f t="shared" si="28"/>
        <v>6.658187494539651E-2</v>
      </c>
    </row>
    <row r="105" spans="10:13">
      <c r="J105" s="30"/>
      <c r="K105" s="30"/>
      <c r="L105" s="35"/>
      <c r="M105" s="1"/>
    </row>
    <row r="106" spans="10:13">
      <c r="J106" s="30"/>
      <c r="K106" s="30"/>
      <c r="L106" s="35"/>
      <c r="M106" s="1"/>
    </row>
    <row r="107" spans="10:13">
      <c r="J107" s="30"/>
      <c r="K107" s="30"/>
      <c r="L107" s="35"/>
      <c r="M107" s="1"/>
    </row>
    <row r="108" spans="10:13">
      <c r="J108" s="30"/>
      <c r="K108" s="30"/>
      <c r="L108" s="35"/>
      <c r="M108" s="1"/>
    </row>
    <row r="109" spans="10:13">
      <c r="J109" s="30"/>
      <c r="K109" s="30"/>
      <c r="L109" s="35"/>
      <c r="M109" s="1"/>
    </row>
    <row r="110" spans="10:13">
      <c r="J110" s="30"/>
      <c r="K110" s="30"/>
      <c r="L110" s="35"/>
      <c r="M110" s="1"/>
    </row>
    <row r="111" spans="10:13">
      <c r="J111" s="30"/>
      <c r="K111" s="30"/>
      <c r="L111" s="35"/>
      <c r="M111" s="1"/>
    </row>
    <row r="112" spans="10:13">
      <c r="J112" s="30"/>
      <c r="K112" s="30"/>
      <c r="L112" s="35"/>
      <c r="M112" s="1"/>
    </row>
    <row r="113" spans="10:13">
      <c r="J113" s="30"/>
      <c r="K113" s="30"/>
      <c r="L113" s="35"/>
      <c r="M113" s="1"/>
    </row>
    <row r="114" spans="10:13">
      <c r="J114" s="30"/>
      <c r="K114" s="30"/>
      <c r="L114" s="35"/>
      <c r="M114" s="1"/>
    </row>
    <row r="115" spans="10:13">
      <c r="J115" s="30"/>
      <c r="K115" s="30"/>
      <c r="L115" s="35"/>
      <c r="M115" s="1"/>
    </row>
    <row r="116" spans="10:13">
      <c r="J116" s="30"/>
      <c r="K116" s="30"/>
      <c r="L116" s="35"/>
      <c r="M116" s="1"/>
    </row>
    <row r="117" spans="10:13">
      <c r="J117" s="30"/>
      <c r="K117" s="30"/>
      <c r="L117" s="35"/>
      <c r="M117" s="1"/>
    </row>
    <row r="118" spans="10:13">
      <c r="J118" s="30"/>
      <c r="K118" s="30"/>
      <c r="L118" s="35"/>
      <c r="M118" s="1"/>
    </row>
    <row r="119" spans="10:13">
      <c r="J119" s="30"/>
      <c r="K119" s="30"/>
      <c r="L119" s="35"/>
      <c r="M119" s="1"/>
    </row>
    <row r="120" spans="10:13">
      <c r="J120" s="30"/>
      <c r="K120" s="30"/>
      <c r="L120" s="35"/>
      <c r="M120" s="1"/>
    </row>
    <row r="121" spans="10:13">
      <c r="J121" s="30"/>
      <c r="K121" s="30"/>
      <c r="L121" s="35"/>
      <c r="M121" s="1"/>
    </row>
    <row r="122" spans="10:13">
      <c r="J122" s="30"/>
      <c r="K122" s="30"/>
      <c r="L122" s="35"/>
      <c r="M122" s="1"/>
    </row>
    <row r="123" spans="10:13">
      <c r="J123" s="30"/>
      <c r="K123" s="30"/>
      <c r="L123" s="35"/>
      <c r="M123" s="1"/>
    </row>
    <row r="124" spans="10:13">
      <c r="J124" s="30"/>
      <c r="K124" s="30"/>
      <c r="L124" s="35"/>
      <c r="M124" s="1"/>
    </row>
    <row r="125" spans="10:13">
      <c r="J125" s="30"/>
      <c r="K125" s="30"/>
      <c r="L125" s="35"/>
      <c r="M125" s="1"/>
    </row>
    <row r="126" spans="10:13">
      <c r="J126" s="30"/>
      <c r="K126" s="30"/>
      <c r="L126" s="35"/>
      <c r="M126" s="1"/>
    </row>
    <row r="127" spans="10:13">
      <c r="J127" s="30"/>
      <c r="K127" s="30"/>
      <c r="L127" s="35"/>
      <c r="M127" s="1"/>
    </row>
    <row r="128" spans="10:13">
      <c r="J128" s="30"/>
      <c r="K128" s="30"/>
      <c r="L128" s="35"/>
      <c r="M128" s="1"/>
    </row>
    <row r="129" spans="10:13">
      <c r="J129" s="30"/>
      <c r="K129" s="30"/>
      <c r="L129" s="35"/>
      <c r="M129" s="1"/>
    </row>
    <row r="130" spans="10:13">
      <c r="J130" s="30"/>
      <c r="K130" s="30"/>
      <c r="L130" s="35"/>
      <c r="M130" s="1"/>
    </row>
    <row r="131" spans="10:13">
      <c r="J131" s="30"/>
      <c r="K131" s="30"/>
      <c r="L131" s="35"/>
      <c r="M131" s="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3"/>
  <sheetViews>
    <sheetView workbookViewId="0">
      <selection activeCell="M19" sqref="M19"/>
    </sheetView>
  </sheetViews>
  <sheetFormatPr defaultRowHeight="15"/>
  <sheetData>
    <row r="3" spans="2:2">
      <c r="B3" t="s">
        <v>49</v>
      </c>
    </row>
  </sheetData>
  <pageMargins left="0.511811024" right="0.511811024" top="0.78740157499999996" bottom="0.78740157499999996" header="0.31496062000000002" footer="0.31496062000000002"/>
  <pageSetup orientation="portrait" r:id="rId1"/>
  <legacyDrawing r:id="rId2"/>
  <oleObjects>
    <oleObject progId="Acrobat Document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SIMULAÇÃO CARTEIRA DE AÇÕES</vt:lpstr>
      <vt:lpstr>BASE DE DADOS</vt:lpstr>
      <vt:lpstr>Plan3</vt:lpstr>
      <vt:lpstr>Ajuda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José</cp:lastModifiedBy>
  <cp:lastPrinted>2010-08-13T00:58:26Z</cp:lastPrinted>
  <dcterms:created xsi:type="dcterms:W3CDTF">2010-08-13T00:00:31Z</dcterms:created>
  <dcterms:modified xsi:type="dcterms:W3CDTF">2010-11-23T14:14:52Z</dcterms:modified>
</cp:coreProperties>
</file>