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lexa\Documents\"/>
    </mc:Choice>
  </mc:AlternateContent>
  <xr:revisionPtr revIDLastSave="0" documentId="8_{3A31E426-7AB2-41D3-A8C2-5274BEC255A2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Premissas do Valuation" sheetId="5" r:id="rId1"/>
    <sheet name="Valor da Empresa" sheetId="8" r:id="rId2"/>
    <sheet name="Projeções" sheetId="7" r:id="rId3"/>
    <sheet name="Análise de Indicadores" sheetId="1" r:id="rId4"/>
    <sheet name="Custo de Capital" sheetId="3" r:id="rId5"/>
    <sheet name="Beta Desalavancado" sheetId="4" r:id="rId6"/>
    <sheet name="Benchmark CAPM" sheetId="6" r:id="rId7"/>
    <sheet name="Benchmark Ki" sheetId="9" r:id="rId8"/>
  </sheets>
  <externalReferences>
    <externalReference r:id="rId9"/>
  </externalReferenc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" l="1"/>
  <c r="B36" i="1"/>
  <c r="B39" i="1"/>
  <c r="B40" i="1"/>
  <c r="B41" i="1"/>
  <c r="D26" i="1"/>
  <c r="D37" i="1"/>
  <c r="C34" i="1"/>
  <c r="C36" i="1"/>
  <c r="C39" i="1"/>
  <c r="C40" i="1"/>
  <c r="C2" i="1"/>
  <c r="C7" i="1"/>
  <c r="C13" i="1"/>
  <c r="C16" i="1"/>
  <c r="C23" i="1"/>
  <c r="C27" i="1"/>
  <c r="C28" i="1"/>
  <c r="B16" i="1"/>
  <c r="B25" i="1"/>
  <c r="B23" i="1"/>
  <c r="B27" i="1"/>
  <c r="B2" i="1"/>
  <c r="B7" i="1"/>
  <c r="B13" i="1"/>
  <c r="B28" i="1"/>
  <c r="B56" i="1"/>
  <c r="B24" i="5"/>
  <c r="B53" i="1"/>
  <c r="G26" i="1"/>
  <c r="G38" i="1"/>
  <c r="H26" i="1"/>
  <c r="H38" i="1"/>
  <c r="G30" i="1"/>
  <c r="G41" i="1"/>
  <c r="H30" i="1"/>
  <c r="H41" i="1"/>
  <c r="B2" i="8"/>
  <c r="C2" i="8"/>
  <c r="D2" i="8"/>
  <c r="E2" i="8"/>
  <c r="F2" i="8"/>
  <c r="G2" i="8"/>
  <c r="H2" i="8"/>
  <c r="I2" i="8"/>
  <c r="J2" i="8"/>
  <c r="K2" i="8"/>
  <c r="L2" i="8"/>
  <c r="M2" i="8"/>
  <c r="A16" i="7"/>
  <c r="B14" i="7"/>
  <c r="C14" i="7"/>
  <c r="D14" i="7"/>
  <c r="E14" i="7"/>
  <c r="F14" i="7"/>
  <c r="G14" i="7"/>
  <c r="H14" i="7"/>
  <c r="I14" i="7"/>
  <c r="J14" i="7"/>
  <c r="K14" i="7"/>
  <c r="L14" i="7"/>
  <c r="M14" i="7"/>
  <c r="B5" i="7"/>
  <c r="C5" i="7"/>
  <c r="D5" i="7"/>
  <c r="E5" i="7"/>
  <c r="F5" i="7"/>
  <c r="G5" i="7"/>
  <c r="H5" i="7"/>
  <c r="I5" i="7"/>
  <c r="J5" i="7"/>
  <c r="K5" i="7"/>
  <c r="L5" i="7"/>
  <c r="M5" i="7"/>
  <c r="B7" i="7"/>
  <c r="C7" i="7"/>
  <c r="D7" i="7"/>
  <c r="E7" i="7"/>
  <c r="F7" i="7"/>
  <c r="G7" i="7"/>
  <c r="H7" i="7"/>
  <c r="I7" i="7"/>
  <c r="J7" i="7"/>
  <c r="K7" i="7"/>
  <c r="L7" i="7"/>
  <c r="M7" i="7"/>
  <c r="B4" i="7"/>
  <c r="C4" i="7"/>
  <c r="B2" i="7"/>
  <c r="C2" i="7"/>
  <c r="D2" i="7"/>
  <c r="E2" i="7"/>
  <c r="F2" i="7"/>
  <c r="G2" i="7"/>
  <c r="H2" i="7"/>
  <c r="I2" i="7"/>
  <c r="J2" i="7"/>
  <c r="K2" i="7"/>
  <c r="L2" i="7"/>
  <c r="M2" i="7"/>
  <c r="M16" i="3"/>
  <c r="M23" i="3"/>
  <c r="M5" i="3"/>
  <c r="M6" i="3"/>
  <c r="M7" i="3"/>
  <c r="M26" i="3"/>
  <c r="M27" i="3"/>
  <c r="M10" i="5"/>
  <c r="M18" i="5"/>
  <c r="C26" i="3"/>
  <c r="D26" i="3"/>
  <c r="E26" i="3"/>
  <c r="F26" i="3"/>
  <c r="G26" i="3"/>
  <c r="H26" i="3"/>
  <c r="I26" i="3"/>
  <c r="J26" i="3"/>
  <c r="K26" i="3"/>
  <c r="L26" i="3"/>
  <c r="C27" i="3"/>
  <c r="D27" i="3"/>
  <c r="E27" i="3"/>
  <c r="F27" i="3"/>
  <c r="G27" i="3"/>
  <c r="H27" i="3"/>
  <c r="I27" i="3"/>
  <c r="J27" i="3"/>
  <c r="K27" i="3"/>
  <c r="L27" i="3"/>
  <c r="B23" i="3"/>
  <c r="C23" i="3"/>
  <c r="D23" i="3"/>
  <c r="E23" i="3"/>
  <c r="F23" i="3"/>
  <c r="G23" i="3"/>
  <c r="H23" i="3"/>
  <c r="I23" i="3"/>
  <c r="J23" i="3"/>
  <c r="K23" i="3"/>
  <c r="L23" i="3"/>
  <c r="B16" i="3"/>
  <c r="C16" i="3"/>
  <c r="D16" i="3"/>
  <c r="E16" i="3"/>
  <c r="F16" i="3"/>
  <c r="G16" i="3"/>
  <c r="H16" i="3"/>
  <c r="I16" i="3"/>
  <c r="J16" i="3"/>
  <c r="K16" i="3"/>
  <c r="L16" i="3"/>
  <c r="J115" i="9"/>
  <c r="G115" i="9"/>
  <c r="I115" i="9"/>
  <c r="D115" i="9"/>
  <c r="J114" i="9"/>
  <c r="G114" i="9"/>
  <c r="I114" i="9"/>
  <c r="D114" i="9"/>
  <c r="J113" i="9"/>
  <c r="G113" i="9"/>
  <c r="I113" i="9"/>
  <c r="D113" i="9"/>
  <c r="J112" i="9"/>
  <c r="G112" i="9"/>
  <c r="I112" i="9"/>
  <c r="D112" i="9"/>
  <c r="J111" i="9"/>
  <c r="G111" i="9"/>
  <c r="I111" i="9"/>
  <c r="D111" i="9"/>
  <c r="J110" i="9"/>
  <c r="G110" i="9"/>
  <c r="I110" i="9"/>
  <c r="D110" i="9"/>
  <c r="J109" i="9"/>
  <c r="G109" i="9"/>
  <c r="I109" i="9"/>
  <c r="D109" i="9"/>
  <c r="J108" i="9"/>
  <c r="G108" i="9"/>
  <c r="I108" i="9"/>
  <c r="D108" i="9"/>
  <c r="K108" i="9"/>
  <c r="L108" i="9"/>
  <c r="J107" i="9"/>
  <c r="G107" i="9"/>
  <c r="I107" i="9"/>
  <c r="D107" i="9"/>
  <c r="J106" i="9"/>
  <c r="G106" i="9"/>
  <c r="I106" i="9"/>
  <c r="D106" i="9"/>
  <c r="J105" i="9"/>
  <c r="G105" i="9"/>
  <c r="I105" i="9"/>
  <c r="D105" i="9"/>
  <c r="J104" i="9"/>
  <c r="G104" i="9"/>
  <c r="I104" i="9"/>
  <c r="D104" i="9"/>
  <c r="K104" i="9"/>
  <c r="L104" i="9"/>
  <c r="J103" i="9"/>
  <c r="G103" i="9"/>
  <c r="I103" i="9"/>
  <c r="D103" i="9"/>
  <c r="J102" i="9"/>
  <c r="D102" i="9"/>
  <c r="G102" i="9"/>
  <c r="I102" i="9"/>
  <c r="K102" i="9"/>
  <c r="L102" i="9"/>
  <c r="J101" i="9"/>
  <c r="G101" i="9"/>
  <c r="I101" i="9"/>
  <c r="D101" i="9"/>
  <c r="J100" i="9"/>
  <c r="G100" i="9"/>
  <c r="I100" i="9"/>
  <c r="D100" i="9"/>
  <c r="K100" i="9"/>
  <c r="L100" i="9"/>
  <c r="J99" i="9"/>
  <c r="G99" i="9"/>
  <c r="I99" i="9"/>
  <c r="D99" i="9"/>
  <c r="J98" i="9"/>
  <c r="G98" i="9"/>
  <c r="I98" i="9"/>
  <c r="D98" i="9"/>
  <c r="J97" i="9"/>
  <c r="G97" i="9"/>
  <c r="I97" i="9"/>
  <c r="D97" i="9"/>
  <c r="J96" i="9"/>
  <c r="G96" i="9"/>
  <c r="I96" i="9"/>
  <c r="D96" i="9"/>
  <c r="K96" i="9"/>
  <c r="L96" i="9"/>
  <c r="J95" i="9"/>
  <c r="G95" i="9"/>
  <c r="I95" i="9"/>
  <c r="D95" i="9"/>
  <c r="J94" i="9"/>
  <c r="D94" i="9"/>
  <c r="G94" i="9"/>
  <c r="I94" i="9"/>
  <c r="K94" i="9"/>
  <c r="L94" i="9"/>
  <c r="J93" i="9"/>
  <c r="G93" i="9"/>
  <c r="I93" i="9"/>
  <c r="D93" i="9"/>
  <c r="J92" i="9"/>
  <c r="G92" i="9"/>
  <c r="I92" i="9"/>
  <c r="D92" i="9"/>
  <c r="K92" i="9"/>
  <c r="L92" i="9"/>
  <c r="J91" i="9"/>
  <c r="G91" i="9"/>
  <c r="I91" i="9"/>
  <c r="D91" i="9"/>
  <c r="J90" i="9"/>
  <c r="G90" i="9"/>
  <c r="I90" i="9"/>
  <c r="D90" i="9"/>
  <c r="J89" i="9"/>
  <c r="G89" i="9"/>
  <c r="I89" i="9"/>
  <c r="D89" i="9"/>
  <c r="J88" i="9"/>
  <c r="G88" i="9"/>
  <c r="I88" i="9"/>
  <c r="D88" i="9"/>
  <c r="K88" i="9"/>
  <c r="L88" i="9"/>
  <c r="J87" i="9"/>
  <c r="G87" i="9"/>
  <c r="I87" i="9"/>
  <c r="D87" i="9"/>
  <c r="J86" i="9"/>
  <c r="D86" i="9"/>
  <c r="G86" i="9"/>
  <c r="I86" i="9"/>
  <c r="K86" i="9"/>
  <c r="L86" i="9"/>
  <c r="J85" i="9"/>
  <c r="G85" i="9"/>
  <c r="I85" i="9"/>
  <c r="D85" i="9"/>
  <c r="J84" i="9"/>
  <c r="G84" i="9"/>
  <c r="I84" i="9"/>
  <c r="D84" i="9"/>
  <c r="K84" i="9"/>
  <c r="L84" i="9"/>
  <c r="J83" i="9"/>
  <c r="G83" i="9"/>
  <c r="I83" i="9"/>
  <c r="D83" i="9"/>
  <c r="J82" i="9"/>
  <c r="G82" i="9"/>
  <c r="I82" i="9"/>
  <c r="D82" i="9"/>
  <c r="J81" i="9"/>
  <c r="G81" i="9"/>
  <c r="I81" i="9"/>
  <c r="D81" i="9"/>
  <c r="J80" i="9"/>
  <c r="G80" i="9"/>
  <c r="I80" i="9"/>
  <c r="D80" i="9"/>
  <c r="K80" i="9"/>
  <c r="L80" i="9"/>
  <c r="J79" i="9"/>
  <c r="G79" i="9"/>
  <c r="I79" i="9"/>
  <c r="D79" i="9"/>
  <c r="J78" i="9"/>
  <c r="D78" i="9"/>
  <c r="G78" i="9"/>
  <c r="I78" i="9"/>
  <c r="K78" i="9"/>
  <c r="L78" i="9"/>
  <c r="J77" i="9"/>
  <c r="G77" i="9"/>
  <c r="I77" i="9"/>
  <c r="D77" i="9"/>
  <c r="J76" i="9"/>
  <c r="G76" i="9"/>
  <c r="I76" i="9"/>
  <c r="D76" i="9"/>
  <c r="K76" i="9"/>
  <c r="L76" i="9"/>
  <c r="J75" i="9"/>
  <c r="G75" i="9"/>
  <c r="I75" i="9"/>
  <c r="D75" i="9"/>
  <c r="J74" i="9"/>
  <c r="G74" i="9"/>
  <c r="I74" i="9"/>
  <c r="D74" i="9"/>
  <c r="J73" i="9"/>
  <c r="G73" i="9"/>
  <c r="I73" i="9"/>
  <c r="D73" i="9"/>
  <c r="J72" i="9"/>
  <c r="G72" i="9"/>
  <c r="I72" i="9"/>
  <c r="D72" i="9"/>
  <c r="K72" i="9"/>
  <c r="L72" i="9"/>
  <c r="J71" i="9"/>
  <c r="G71" i="9"/>
  <c r="I71" i="9"/>
  <c r="D71" i="9"/>
  <c r="J70" i="9"/>
  <c r="D70" i="9"/>
  <c r="G70" i="9"/>
  <c r="I70" i="9"/>
  <c r="K70" i="9"/>
  <c r="L70" i="9"/>
  <c r="J69" i="9"/>
  <c r="G69" i="9"/>
  <c r="I69" i="9"/>
  <c r="D69" i="9"/>
  <c r="J68" i="9"/>
  <c r="G68" i="9"/>
  <c r="I68" i="9"/>
  <c r="D68" i="9"/>
  <c r="K68" i="9"/>
  <c r="L68" i="9"/>
  <c r="J67" i="9"/>
  <c r="G67" i="9"/>
  <c r="I67" i="9"/>
  <c r="D67" i="9"/>
  <c r="J66" i="9"/>
  <c r="G66" i="9"/>
  <c r="I66" i="9"/>
  <c r="D66" i="9"/>
  <c r="J65" i="9"/>
  <c r="G65" i="9"/>
  <c r="I65" i="9"/>
  <c r="D65" i="9"/>
  <c r="J64" i="9"/>
  <c r="G64" i="9"/>
  <c r="I64" i="9"/>
  <c r="D64" i="9"/>
  <c r="K64" i="9"/>
  <c r="L64" i="9"/>
  <c r="J63" i="9"/>
  <c r="G63" i="9"/>
  <c r="I63" i="9"/>
  <c r="D63" i="9"/>
  <c r="J62" i="9"/>
  <c r="D62" i="9"/>
  <c r="G62" i="9"/>
  <c r="I62" i="9"/>
  <c r="K62" i="9"/>
  <c r="L62" i="9"/>
  <c r="J61" i="9"/>
  <c r="G61" i="9"/>
  <c r="I61" i="9"/>
  <c r="D61" i="9"/>
  <c r="J60" i="9"/>
  <c r="G60" i="9"/>
  <c r="I60" i="9"/>
  <c r="D60" i="9"/>
  <c r="K60" i="9"/>
  <c r="L60" i="9"/>
  <c r="J59" i="9"/>
  <c r="G59" i="9"/>
  <c r="I59" i="9"/>
  <c r="D59" i="9"/>
  <c r="J58" i="9"/>
  <c r="G58" i="9"/>
  <c r="I58" i="9"/>
  <c r="D58" i="9"/>
  <c r="J57" i="9"/>
  <c r="G57" i="9"/>
  <c r="I57" i="9"/>
  <c r="D57" i="9"/>
  <c r="J56" i="9"/>
  <c r="G56" i="9"/>
  <c r="I56" i="9"/>
  <c r="D56" i="9"/>
  <c r="K56" i="9"/>
  <c r="L56" i="9"/>
  <c r="J55" i="9"/>
  <c r="G55" i="9"/>
  <c r="I55" i="9"/>
  <c r="D55" i="9"/>
  <c r="J54" i="9"/>
  <c r="D54" i="9"/>
  <c r="G54" i="9"/>
  <c r="I54" i="9"/>
  <c r="K54" i="9"/>
  <c r="L54" i="9"/>
  <c r="J53" i="9"/>
  <c r="G53" i="9"/>
  <c r="I53" i="9"/>
  <c r="D53" i="9"/>
  <c r="J52" i="9"/>
  <c r="G52" i="9"/>
  <c r="I52" i="9"/>
  <c r="D52" i="9"/>
  <c r="K52" i="9"/>
  <c r="L52" i="9"/>
  <c r="J51" i="9"/>
  <c r="G51" i="9"/>
  <c r="I51" i="9"/>
  <c r="D51" i="9"/>
  <c r="J50" i="9"/>
  <c r="G50" i="9"/>
  <c r="I50" i="9"/>
  <c r="D50" i="9"/>
  <c r="J49" i="9"/>
  <c r="G49" i="9"/>
  <c r="I49" i="9"/>
  <c r="D49" i="9"/>
  <c r="J48" i="9"/>
  <c r="G48" i="9"/>
  <c r="I48" i="9"/>
  <c r="D48" i="9"/>
  <c r="K48" i="9"/>
  <c r="L48" i="9"/>
  <c r="J47" i="9"/>
  <c r="G47" i="9"/>
  <c r="I47" i="9"/>
  <c r="D47" i="9"/>
  <c r="J46" i="9"/>
  <c r="D46" i="9"/>
  <c r="G46" i="9"/>
  <c r="I46" i="9"/>
  <c r="K46" i="9"/>
  <c r="L46" i="9"/>
  <c r="J45" i="9"/>
  <c r="G45" i="9"/>
  <c r="I45" i="9"/>
  <c r="D45" i="9"/>
  <c r="J44" i="9"/>
  <c r="G44" i="9"/>
  <c r="I44" i="9"/>
  <c r="D44" i="9"/>
  <c r="K44" i="9"/>
  <c r="L44" i="9"/>
  <c r="J43" i="9"/>
  <c r="G43" i="9"/>
  <c r="I43" i="9"/>
  <c r="D43" i="9"/>
  <c r="J42" i="9"/>
  <c r="G42" i="9"/>
  <c r="I42" i="9"/>
  <c r="D42" i="9"/>
  <c r="J41" i="9"/>
  <c r="G41" i="9"/>
  <c r="I41" i="9"/>
  <c r="D41" i="9"/>
  <c r="J40" i="9"/>
  <c r="G40" i="9"/>
  <c r="I40" i="9"/>
  <c r="D40" i="9"/>
  <c r="K40" i="9"/>
  <c r="L40" i="9"/>
  <c r="J39" i="9"/>
  <c r="G39" i="9"/>
  <c r="I39" i="9"/>
  <c r="D39" i="9"/>
  <c r="J38" i="9"/>
  <c r="D38" i="9"/>
  <c r="G38" i="9"/>
  <c r="I38" i="9"/>
  <c r="K38" i="9"/>
  <c r="L38" i="9"/>
  <c r="J37" i="9"/>
  <c r="G37" i="9"/>
  <c r="I37" i="9"/>
  <c r="D37" i="9"/>
  <c r="J36" i="9"/>
  <c r="G36" i="9"/>
  <c r="I36" i="9"/>
  <c r="D36" i="9"/>
  <c r="K36" i="9"/>
  <c r="L36" i="9"/>
  <c r="J35" i="9"/>
  <c r="G35" i="9"/>
  <c r="I35" i="9"/>
  <c r="D35" i="9"/>
  <c r="J34" i="9"/>
  <c r="G34" i="9"/>
  <c r="I34" i="9"/>
  <c r="D34" i="9"/>
  <c r="J33" i="9"/>
  <c r="G33" i="9"/>
  <c r="I33" i="9"/>
  <c r="D33" i="9"/>
  <c r="J32" i="9"/>
  <c r="G32" i="9"/>
  <c r="I32" i="9"/>
  <c r="D32" i="9"/>
  <c r="K32" i="9"/>
  <c r="L32" i="9"/>
  <c r="J31" i="9"/>
  <c r="G31" i="9"/>
  <c r="I31" i="9"/>
  <c r="D31" i="9"/>
  <c r="J30" i="9"/>
  <c r="D30" i="9"/>
  <c r="G30" i="9"/>
  <c r="I30" i="9"/>
  <c r="K30" i="9"/>
  <c r="L30" i="9"/>
  <c r="J29" i="9"/>
  <c r="G29" i="9"/>
  <c r="I29" i="9"/>
  <c r="D29" i="9"/>
  <c r="J28" i="9"/>
  <c r="G28" i="9"/>
  <c r="I28" i="9"/>
  <c r="D28" i="9"/>
  <c r="K28" i="9"/>
  <c r="L28" i="9"/>
  <c r="J27" i="9"/>
  <c r="D27" i="9"/>
  <c r="G27" i="9"/>
  <c r="I27" i="9"/>
  <c r="K27" i="9"/>
  <c r="L27" i="9"/>
  <c r="J26" i="9"/>
  <c r="G26" i="9"/>
  <c r="I26" i="9"/>
  <c r="D26" i="9"/>
  <c r="J25" i="9"/>
  <c r="G25" i="9"/>
  <c r="I25" i="9"/>
  <c r="D25" i="9"/>
  <c r="J24" i="9"/>
  <c r="G24" i="9"/>
  <c r="I24" i="9"/>
  <c r="D24" i="9"/>
  <c r="K24" i="9"/>
  <c r="L24" i="9"/>
  <c r="J23" i="9"/>
  <c r="D23" i="9"/>
  <c r="G23" i="9"/>
  <c r="I23" i="9"/>
  <c r="K23" i="9"/>
  <c r="L23" i="9"/>
  <c r="J22" i="9"/>
  <c r="D22" i="9"/>
  <c r="G22" i="9"/>
  <c r="I22" i="9"/>
  <c r="K22" i="9"/>
  <c r="L22" i="9"/>
  <c r="J21" i="9"/>
  <c r="G21" i="9"/>
  <c r="I21" i="9"/>
  <c r="D21" i="9"/>
  <c r="J20" i="9"/>
  <c r="G20" i="9"/>
  <c r="I20" i="9"/>
  <c r="D20" i="9"/>
  <c r="K20" i="9"/>
  <c r="L20" i="9"/>
  <c r="B12" i="3"/>
  <c r="C14" i="5"/>
  <c r="C12" i="3"/>
  <c r="B13" i="5"/>
  <c r="B10" i="5"/>
  <c r="C10" i="5"/>
  <c r="D10" i="5"/>
  <c r="E10" i="5"/>
  <c r="F10" i="5"/>
  <c r="G10" i="5"/>
  <c r="H10" i="5"/>
  <c r="I10" i="5"/>
  <c r="J10" i="5"/>
  <c r="K10" i="5"/>
  <c r="L10" i="5"/>
  <c r="E115" i="6"/>
  <c r="D115" i="6"/>
  <c r="E114" i="6"/>
  <c r="C114" i="6"/>
  <c r="B114" i="6"/>
  <c r="C7" i="3"/>
  <c r="D7" i="3"/>
  <c r="E7" i="3"/>
  <c r="F7" i="3"/>
  <c r="G7" i="3"/>
  <c r="H7" i="3"/>
  <c r="I7" i="3"/>
  <c r="J7" i="3"/>
  <c r="K7" i="3"/>
  <c r="L7" i="3"/>
  <c r="B7" i="3"/>
  <c r="C5" i="3"/>
  <c r="D5" i="3"/>
  <c r="E5" i="3"/>
  <c r="F5" i="3"/>
  <c r="G5" i="3"/>
  <c r="H5" i="3"/>
  <c r="I5" i="3"/>
  <c r="J5" i="3"/>
  <c r="K5" i="3"/>
  <c r="L5" i="3"/>
  <c r="C6" i="3"/>
  <c r="D6" i="3"/>
  <c r="E6" i="3"/>
  <c r="F6" i="3"/>
  <c r="G6" i="3"/>
  <c r="H6" i="3"/>
  <c r="I6" i="3"/>
  <c r="J6" i="3"/>
  <c r="K6" i="3"/>
  <c r="L6" i="3"/>
  <c r="B3" i="3"/>
  <c r="C3" i="3"/>
  <c r="D3" i="3"/>
  <c r="E3" i="3"/>
  <c r="F3" i="3"/>
  <c r="G3" i="3"/>
  <c r="H3" i="3"/>
  <c r="I3" i="3"/>
  <c r="J3" i="3"/>
  <c r="K3" i="3"/>
  <c r="L3" i="3"/>
  <c r="B21" i="5"/>
  <c r="B20" i="5"/>
  <c r="B19" i="5"/>
  <c r="B17" i="5"/>
  <c r="C17" i="5"/>
  <c r="D17" i="5"/>
  <c r="E17" i="5"/>
  <c r="F17" i="5"/>
  <c r="G17" i="5"/>
  <c r="H17" i="5"/>
  <c r="I17" i="5"/>
  <c r="J17" i="5"/>
  <c r="K17" i="5"/>
  <c r="L17" i="5"/>
  <c r="M17" i="5"/>
  <c r="E118" i="6"/>
  <c r="K110" i="9"/>
  <c r="L110" i="9"/>
  <c r="K115" i="9"/>
  <c r="L115" i="9"/>
  <c r="B18" i="3"/>
  <c r="C18" i="3"/>
  <c r="D18" i="3"/>
  <c r="E18" i="3"/>
  <c r="D14" i="5"/>
  <c r="E14" i="5"/>
  <c r="B19" i="3"/>
  <c r="B20" i="3"/>
  <c r="B25" i="3"/>
  <c r="K21" i="9"/>
  <c r="L21" i="9"/>
  <c r="K29" i="9"/>
  <c r="L29" i="9"/>
  <c r="K31" i="9"/>
  <c r="L31" i="9"/>
  <c r="K35" i="9"/>
  <c r="L35" i="9"/>
  <c r="K37" i="9"/>
  <c r="L37" i="9"/>
  <c r="K39" i="9"/>
  <c r="L39" i="9"/>
  <c r="K43" i="9"/>
  <c r="L43" i="9"/>
  <c r="K45" i="9"/>
  <c r="L45" i="9"/>
  <c r="K47" i="9"/>
  <c r="L47" i="9"/>
  <c r="K51" i="9"/>
  <c r="L51" i="9"/>
  <c r="K53" i="9"/>
  <c r="L53" i="9"/>
  <c r="K55" i="9"/>
  <c r="L55" i="9"/>
  <c r="K59" i="9"/>
  <c r="L59" i="9"/>
  <c r="K61" i="9"/>
  <c r="L61" i="9"/>
  <c r="K63" i="9"/>
  <c r="L63" i="9"/>
  <c r="K67" i="9"/>
  <c r="L67" i="9"/>
  <c r="K69" i="9"/>
  <c r="L69" i="9"/>
  <c r="K71" i="9"/>
  <c r="L71" i="9"/>
  <c r="K75" i="9"/>
  <c r="L75" i="9"/>
  <c r="K77" i="9"/>
  <c r="L77" i="9"/>
  <c r="K79" i="9"/>
  <c r="L79" i="9"/>
  <c r="K83" i="9"/>
  <c r="L83" i="9"/>
  <c r="K85" i="9"/>
  <c r="L85" i="9"/>
  <c r="K87" i="9"/>
  <c r="L87" i="9"/>
  <c r="K91" i="9"/>
  <c r="L91" i="9"/>
  <c r="K93" i="9"/>
  <c r="L93" i="9"/>
  <c r="K95" i="9"/>
  <c r="L95" i="9"/>
  <c r="K99" i="9"/>
  <c r="L99" i="9"/>
  <c r="K101" i="9"/>
  <c r="L101" i="9"/>
  <c r="K103" i="9"/>
  <c r="L103" i="9"/>
  <c r="K109" i="9"/>
  <c r="L109" i="9"/>
  <c r="F14" i="5"/>
  <c r="E12" i="3"/>
  <c r="C13" i="5"/>
  <c r="C6" i="7"/>
  <c r="C8" i="7"/>
  <c r="B11" i="3"/>
  <c r="D4" i="7"/>
  <c r="F18" i="3"/>
  <c r="K111" i="9"/>
  <c r="L111" i="9"/>
  <c r="K26" i="9"/>
  <c r="L26" i="9"/>
  <c r="K34" i="9"/>
  <c r="L34" i="9"/>
  <c r="K42" i="9"/>
  <c r="L42" i="9"/>
  <c r="K50" i="9"/>
  <c r="L50" i="9"/>
  <c r="K58" i="9"/>
  <c r="L58" i="9"/>
  <c r="K66" i="9"/>
  <c r="L66" i="9"/>
  <c r="K74" i="9"/>
  <c r="L74" i="9"/>
  <c r="K82" i="9"/>
  <c r="L82" i="9"/>
  <c r="K90" i="9"/>
  <c r="L90" i="9"/>
  <c r="K98" i="9"/>
  <c r="L98" i="9"/>
  <c r="K106" i="9"/>
  <c r="L106" i="9"/>
  <c r="K112" i="9"/>
  <c r="L112" i="9"/>
  <c r="K114" i="9"/>
  <c r="L114" i="9"/>
  <c r="K25" i="9"/>
  <c r="L25" i="9"/>
  <c r="K33" i="9"/>
  <c r="L33" i="9"/>
  <c r="K41" i="9"/>
  <c r="L41" i="9"/>
  <c r="K49" i="9"/>
  <c r="L49" i="9"/>
  <c r="K57" i="9"/>
  <c r="L57" i="9"/>
  <c r="K65" i="9"/>
  <c r="L65" i="9"/>
  <c r="K73" i="9"/>
  <c r="L73" i="9"/>
  <c r="K81" i="9"/>
  <c r="L81" i="9"/>
  <c r="K89" i="9"/>
  <c r="L89" i="9"/>
  <c r="K97" i="9"/>
  <c r="L97" i="9"/>
  <c r="K105" i="9"/>
  <c r="L105" i="9"/>
  <c r="K107" i="9"/>
  <c r="L107" i="9"/>
  <c r="K113" i="9"/>
  <c r="L113" i="9"/>
  <c r="E13" i="6"/>
  <c r="E119" i="6"/>
  <c r="E120" i="6"/>
  <c r="O114" i="6"/>
  <c r="P114" i="6"/>
  <c r="D113" i="6"/>
  <c r="B12" i="5"/>
  <c r="E113" i="6"/>
  <c r="D114" i="6"/>
  <c r="I114" i="6"/>
  <c r="Q114" i="6"/>
  <c r="J113" i="6"/>
  <c r="C113" i="6"/>
  <c r="B113" i="6"/>
  <c r="I113" i="6"/>
  <c r="B11" i="5"/>
  <c r="B9" i="3"/>
  <c r="P113" i="6"/>
  <c r="Q115" i="6"/>
  <c r="O115" i="6"/>
  <c r="J115" i="6"/>
  <c r="K115" i="6"/>
  <c r="H114" i="6"/>
  <c r="O113" i="6"/>
  <c r="B115" i="6"/>
  <c r="K114" i="6"/>
  <c r="C115" i="6"/>
  <c r="P115" i="6"/>
  <c r="R115" i="6"/>
  <c r="F5" i="5"/>
  <c r="G5" i="5"/>
  <c r="H5" i="5"/>
  <c r="I5" i="5"/>
  <c r="J5" i="5"/>
  <c r="K5" i="5"/>
  <c r="L5" i="5"/>
  <c r="M5" i="5"/>
  <c r="F4" i="5"/>
  <c r="G4" i="5"/>
  <c r="H4" i="5"/>
  <c r="I4" i="5"/>
  <c r="J4" i="5"/>
  <c r="K4" i="5"/>
  <c r="L4" i="5"/>
  <c r="M4" i="5"/>
  <c r="B2" i="5"/>
  <c r="C2" i="5"/>
  <c r="D2" i="5"/>
  <c r="E2" i="5"/>
  <c r="F2" i="5"/>
  <c r="G2" i="5"/>
  <c r="H2" i="5"/>
  <c r="I2" i="5"/>
  <c r="J2" i="5"/>
  <c r="K2" i="5"/>
  <c r="L2" i="5"/>
  <c r="M2" i="5"/>
  <c r="Q106" i="4"/>
  <c r="F106" i="4"/>
  <c r="H106" i="4"/>
  <c r="Q105" i="4"/>
  <c r="F105" i="4"/>
  <c r="H105" i="4"/>
  <c r="Q104" i="4"/>
  <c r="F104" i="4"/>
  <c r="H104" i="4"/>
  <c r="Q103" i="4"/>
  <c r="F103" i="4"/>
  <c r="H103" i="4"/>
  <c r="Q102" i="4"/>
  <c r="F102" i="4"/>
  <c r="H102" i="4"/>
  <c r="Q101" i="4"/>
  <c r="F101" i="4"/>
  <c r="H101" i="4"/>
  <c r="Q100" i="4"/>
  <c r="F100" i="4"/>
  <c r="H100" i="4"/>
  <c r="Q99" i="4"/>
  <c r="F99" i="4"/>
  <c r="H99" i="4"/>
  <c r="Q98" i="4"/>
  <c r="F98" i="4"/>
  <c r="H98" i="4"/>
  <c r="Q97" i="4"/>
  <c r="F97" i="4"/>
  <c r="H97" i="4"/>
  <c r="Q96" i="4"/>
  <c r="F96" i="4"/>
  <c r="H96" i="4"/>
  <c r="Q95" i="4"/>
  <c r="F95" i="4"/>
  <c r="H95" i="4"/>
  <c r="Q94" i="4"/>
  <c r="F94" i="4"/>
  <c r="H94" i="4"/>
  <c r="Q93" i="4"/>
  <c r="F93" i="4"/>
  <c r="H93" i="4"/>
  <c r="Q92" i="4"/>
  <c r="F92" i="4"/>
  <c r="H92" i="4"/>
  <c r="Q91" i="4"/>
  <c r="F91" i="4"/>
  <c r="H91" i="4"/>
  <c r="Q90" i="4"/>
  <c r="F90" i="4"/>
  <c r="H90" i="4"/>
  <c r="Q89" i="4"/>
  <c r="F89" i="4"/>
  <c r="H89" i="4"/>
  <c r="Q88" i="4"/>
  <c r="F88" i="4"/>
  <c r="H88" i="4"/>
  <c r="Q87" i="4"/>
  <c r="F87" i="4"/>
  <c r="H87" i="4"/>
  <c r="Q86" i="4"/>
  <c r="F86" i="4"/>
  <c r="H86" i="4"/>
  <c r="Q85" i="4"/>
  <c r="F85" i="4"/>
  <c r="H85" i="4"/>
  <c r="Q84" i="4"/>
  <c r="F84" i="4"/>
  <c r="H84" i="4"/>
  <c r="Q83" i="4"/>
  <c r="F83" i="4"/>
  <c r="H83" i="4"/>
  <c r="Q82" i="4"/>
  <c r="F82" i="4"/>
  <c r="H82" i="4"/>
  <c r="Q81" i="4"/>
  <c r="F81" i="4"/>
  <c r="H81" i="4"/>
  <c r="Q80" i="4"/>
  <c r="F80" i="4"/>
  <c r="H80" i="4"/>
  <c r="Q79" i="4"/>
  <c r="F79" i="4"/>
  <c r="H79" i="4"/>
  <c r="Q78" i="4"/>
  <c r="F78" i="4"/>
  <c r="H78" i="4"/>
  <c r="Q77" i="4"/>
  <c r="F77" i="4"/>
  <c r="H77" i="4"/>
  <c r="Q76" i="4"/>
  <c r="F76" i="4"/>
  <c r="H76" i="4"/>
  <c r="Q75" i="4"/>
  <c r="F75" i="4"/>
  <c r="H75" i="4"/>
  <c r="Q74" i="4"/>
  <c r="F74" i="4"/>
  <c r="H74" i="4"/>
  <c r="Q73" i="4"/>
  <c r="F73" i="4"/>
  <c r="H73" i="4"/>
  <c r="Q72" i="4"/>
  <c r="F72" i="4"/>
  <c r="H72" i="4"/>
  <c r="Q71" i="4"/>
  <c r="F71" i="4"/>
  <c r="H71" i="4"/>
  <c r="Q70" i="4"/>
  <c r="F70" i="4"/>
  <c r="H70" i="4"/>
  <c r="Q69" i="4"/>
  <c r="F69" i="4"/>
  <c r="H69" i="4"/>
  <c r="Q68" i="4"/>
  <c r="F68" i="4"/>
  <c r="H68" i="4"/>
  <c r="Q67" i="4"/>
  <c r="F67" i="4"/>
  <c r="H67" i="4"/>
  <c r="Q66" i="4"/>
  <c r="F66" i="4"/>
  <c r="H66" i="4"/>
  <c r="Q65" i="4"/>
  <c r="F65" i="4"/>
  <c r="H65" i="4"/>
  <c r="Q64" i="4"/>
  <c r="F64" i="4"/>
  <c r="H64" i="4"/>
  <c r="Q63" i="4"/>
  <c r="F63" i="4"/>
  <c r="H63" i="4"/>
  <c r="Q62" i="4"/>
  <c r="F62" i="4"/>
  <c r="H62" i="4"/>
  <c r="Q61" i="4"/>
  <c r="F61" i="4"/>
  <c r="H61" i="4"/>
  <c r="Q60" i="4"/>
  <c r="F60" i="4"/>
  <c r="H60" i="4"/>
  <c r="Q59" i="4"/>
  <c r="F59" i="4"/>
  <c r="H59" i="4"/>
  <c r="Q58" i="4"/>
  <c r="F58" i="4"/>
  <c r="H58" i="4"/>
  <c r="Q57" i="4"/>
  <c r="F57" i="4"/>
  <c r="H57" i="4"/>
  <c r="Q56" i="4"/>
  <c r="F56" i="4"/>
  <c r="H56" i="4"/>
  <c r="Q55" i="4"/>
  <c r="F55" i="4"/>
  <c r="H55" i="4"/>
  <c r="Q54" i="4"/>
  <c r="F54" i="4"/>
  <c r="H54" i="4"/>
  <c r="Q53" i="4"/>
  <c r="F53" i="4"/>
  <c r="H53" i="4"/>
  <c r="Q52" i="4"/>
  <c r="F52" i="4"/>
  <c r="H52" i="4"/>
  <c r="Q51" i="4"/>
  <c r="F51" i="4"/>
  <c r="H51" i="4"/>
  <c r="Q50" i="4"/>
  <c r="F50" i="4"/>
  <c r="H50" i="4"/>
  <c r="Q49" i="4"/>
  <c r="F49" i="4"/>
  <c r="H49" i="4"/>
  <c r="Q48" i="4"/>
  <c r="F48" i="4"/>
  <c r="H48" i="4"/>
  <c r="Q47" i="4"/>
  <c r="F47" i="4"/>
  <c r="H47" i="4"/>
  <c r="Q46" i="4"/>
  <c r="F46" i="4"/>
  <c r="H46" i="4"/>
  <c r="Q45" i="4"/>
  <c r="F45" i="4"/>
  <c r="H45" i="4"/>
  <c r="Q44" i="4"/>
  <c r="F44" i="4"/>
  <c r="H44" i="4"/>
  <c r="Q43" i="4"/>
  <c r="F43" i="4"/>
  <c r="H43" i="4"/>
  <c r="Q42" i="4"/>
  <c r="F42" i="4"/>
  <c r="H42" i="4"/>
  <c r="Q41" i="4"/>
  <c r="F41" i="4"/>
  <c r="H41" i="4"/>
  <c r="Q40" i="4"/>
  <c r="F40" i="4"/>
  <c r="H40" i="4"/>
  <c r="Q39" i="4"/>
  <c r="F39" i="4"/>
  <c r="H39" i="4"/>
  <c r="Q38" i="4"/>
  <c r="F38" i="4"/>
  <c r="H38" i="4"/>
  <c r="Q37" i="4"/>
  <c r="F37" i="4"/>
  <c r="H37" i="4"/>
  <c r="Q36" i="4"/>
  <c r="F36" i="4"/>
  <c r="H36" i="4"/>
  <c r="Q35" i="4"/>
  <c r="F35" i="4"/>
  <c r="H35" i="4"/>
  <c r="Q34" i="4"/>
  <c r="F34" i="4"/>
  <c r="H34" i="4"/>
  <c r="Q33" i="4"/>
  <c r="F33" i="4"/>
  <c r="H33" i="4"/>
  <c r="Q32" i="4"/>
  <c r="F32" i="4"/>
  <c r="H32" i="4"/>
  <c r="Q31" i="4"/>
  <c r="F31" i="4"/>
  <c r="H31" i="4"/>
  <c r="Q30" i="4"/>
  <c r="F30" i="4"/>
  <c r="H30" i="4"/>
  <c r="Q29" i="4"/>
  <c r="F29" i="4"/>
  <c r="H29" i="4"/>
  <c r="Q28" i="4"/>
  <c r="F28" i="4"/>
  <c r="H28" i="4"/>
  <c r="Q27" i="4"/>
  <c r="F27" i="4"/>
  <c r="H27" i="4"/>
  <c r="Q26" i="4"/>
  <c r="F26" i="4"/>
  <c r="H26" i="4"/>
  <c r="Q25" i="4"/>
  <c r="F25" i="4"/>
  <c r="H25" i="4"/>
  <c r="Q24" i="4"/>
  <c r="F24" i="4"/>
  <c r="H24" i="4"/>
  <c r="Q23" i="4"/>
  <c r="F23" i="4"/>
  <c r="H23" i="4"/>
  <c r="Q22" i="4"/>
  <c r="F22" i="4"/>
  <c r="H22" i="4"/>
  <c r="Q21" i="4"/>
  <c r="F21" i="4"/>
  <c r="H21" i="4"/>
  <c r="Q20" i="4"/>
  <c r="F20" i="4"/>
  <c r="H20" i="4"/>
  <c r="Q19" i="4"/>
  <c r="F19" i="4"/>
  <c r="H19" i="4"/>
  <c r="Q18" i="4"/>
  <c r="F18" i="4"/>
  <c r="H18" i="4"/>
  <c r="Q17" i="4"/>
  <c r="F17" i="4"/>
  <c r="H17" i="4"/>
  <c r="Q16" i="4"/>
  <c r="F16" i="4"/>
  <c r="H16" i="4"/>
  <c r="Q15" i="4"/>
  <c r="F15" i="4"/>
  <c r="H15" i="4"/>
  <c r="Q14" i="4"/>
  <c r="F14" i="4"/>
  <c r="Q13" i="4"/>
  <c r="F13" i="4"/>
  <c r="H13" i="4"/>
  <c r="Q12" i="4"/>
  <c r="F12" i="4"/>
  <c r="H12" i="4"/>
  <c r="Q11" i="4"/>
  <c r="F11" i="4"/>
  <c r="H11" i="4"/>
  <c r="D12" i="3"/>
  <c r="H14" i="4"/>
  <c r="B4" i="3"/>
  <c r="C4" i="3"/>
  <c r="B10" i="3"/>
  <c r="C12" i="5"/>
  <c r="C11" i="5"/>
  <c r="E4" i="7"/>
  <c r="D6" i="7"/>
  <c r="D8" i="7"/>
  <c r="C9" i="7"/>
  <c r="C10" i="7"/>
  <c r="C16" i="7"/>
  <c r="C11" i="3"/>
  <c r="C19" i="3"/>
  <c r="C20" i="3"/>
  <c r="C25" i="3"/>
  <c r="D13" i="5"/>
  <c r="G14" i="5"/>
  <c r="F12" i="3"/>
  <c r="D11" i="5"/>
  <c r="C9" i="3"/>
  <c r="G18" i="3"/>
  <c r="Q113" i="6"/>
  <c r="K113" i="6"/>
  <c r="J114" i="6"/>
  <c r="H113" i="6"/>
  <c r="C118" i="6"/>
  <c r="C119" i="6"/>
  <c r="C120" i="6"/>
  <c r="I115" i="6"/>
  <c r="H115" i="6"/>
  <c r="R114" i="6"/>
  <c r="R113" i="6"/>
  <c r="E14" i="6"/>
  <c r="L35" i="1"/>
  <c r="H20" i="1"/>
  <c r="M32" i="1"/>
  <c r="M33" i="1"/>
  <c r="M36" i="1"/>
  <c r="L44" i="1"/>
  <c r="L45" i="1"/>
  <c r="L46" i="1"/>
  <c r="M45" i="1"/>
  <c r="M44" i="1"/>
  <c r="D4" i="1"/>
  <c r="D5" i="1"/>
  <c r="D18" i="1"/>
  <c r="D19" i="1"/>
  <c r="D20" i="1"/>
  <c r="D21" i="1"/>
  <c r="G21" i="1"/>
  <c r="H21" i="1"/>
  <c r="C15" i="1"/>
  <c r="C31" i="1"/>
  <c r="D25" i="1"/>
  <c r="D9" i="1"/>
  <c r="D10" i="1"/>
  <c r="D11" i="1"/>
  <c r="M8" i="1"/>
  <c r="L8" i="1"/>
  <c r="D8" i="1"/>
  <c r="B15" i="1"/>
  <c r="B31" i="1"/>
  <c r="H1" i="1"/>
  <c r="H13" i="1"/>
  <c r="G1" i="1"/>
  <c r="G13" i="1"/>
  <c r="D4" i="3"/>
  <c r="C8" i="3"/>
  <c r="C26" i="5"/>
  <c r="D26" i="5"/>
  <c r="B26" i="5"/>
  <c r="B17" i="7"/>
  <c r="D17" i="1"/>
  <c r="N35" i="1"/>
  <c r="C10" i="3"/>
  <c r="C13" i="3"/>
  <c r="C24" i="3"/>
  <c r="C28" i="3"/>
  <c r="C6" i="8"/>
  <c r="D12" i="5"/>
  <c r="D7" i="1"/>
  <c r="I21" i="1"/>
  <c r="D24" i="1"/>
  <c r="L53" i="1"/>
  <c r="M53" i="1"/>
  <c r="M2" i="1"/>
  <c r="M38" i="1"/>
  <c r="L9" i="1"/>
  <c r="L47" i="1"/>
  <c r="L48" i="1"/>
  <c r="D6" i="1"/>
  <c r="N33" i="1"/>
  <c r="G20" i="1"/>
  <c r="B17" i="3"/>
  <c r="C17" i="3"/>
  <c r="D17" i="3"/>
  <c r="E17" i="3"/>
  <c r="F17" i="3"/>
  <c r="G17" i="3"/>
  <c r="H17" i="3"/>
  <c r="I17" i="3"/>
  <c r="J17" i="3"/>
  <c r="K17" i="3"/>
  <c r="L17" i="3"/>
  <c r="M17" i="3"/>
  <c r="M35" i="1"/>
  <c r="M40" i="1"/>
  <c r="L33" i="1"/>
  <c r="B52" i="1"/>
  <c r="B54" i="1"/>
  <c r="B6" i="7"/>
  <c r="C24" i="5"/>
  <c r="B19" i="7"/>
  <c r="N8" i="1"/>
  <c r="M34" i="1"/>
  <c r="H22" i="1"/>
  <c r="M22" i="1"/>
  <c r="E13" i="5"/>
  <c r="D11" i="3"/>
  <c r="D19" i="3"/>
  <c r="D20" i="3"/>
  <c r="D25" i="3"/>
  <c r="D9" i="7"/>
  <c r="D10" i="7"/>
  <c r="D16" i="7"/>
  <c r="F4" i="7"/>
  <c r="E6" i="7"/>
  <c r="E8" i="7"/>
  <c r="E11" i="5"/>
  <c r="D9" i="3"/>
  <c r="H14" i="5"/>
  <c r="G12" i="3"/>
  <c r="H18" i="3"/>
  <c r="D119" i="6"/>
  <c r="D120" i="6"/>
  <c r="D118" i="6"/>
  <c r="D3" i="1"/>
  <c r="L32" i="1"/>
  <c r="D22" i="1"/>
  <c r="N36" i="1"/>
  <c r="L36" i="1"/>
  <c r="L37" i="1"/>
  <c r="E12" i="5"/>
  <c r="D10" i="3"/>
  <c r="D8" i="3"/>
  <c r="D13" i="3"/>
  <c r="D24" i="3"/>
  <c r="D28" i="3"/>
  <c r="D6" i="8"/>
  <c r="C17" i="7"/>
  <c r="C18" i="7"/>
  <c r="E4" i="3"/>
  <c r="N37" i="1"/>
  <c r="N53" i="1"/>
  <c r="L2" i="1"/>
  <c r="B50" i="1"/>
  <c r="L52" i="1"/>
  <c r="L54" i="1"/>
  <c r="I20" i="1"/>
  <c r="I22" i="1"/>
  <c r="B22" i="5"/>
  <c r="H25" i="1"/>
  <c r="H27" i="1"/>
  <c r="C52" i="1"/>
  <c r="C54" i="1"/>
  <c r="M16" i="1"/>
  <c r="C41" i="1"/>
  <c r="M56" i="1"/>
  <c r="B8" i="7"/>
  <c r="G25" i="1"/>
  <c r="M13" i="1"/>
  <c r="D23" i="1"/>
  <c r="N9" i="1"/>
  <c r="M12" i="1"/>
  <c r="M9" i="1"/>
  <c r="M3" i="1"/>
  <c r="M5" i="1"/>
  <c r="H4" i="1"/>
  <c r="G22" i="1"/>
  <c r="L22" i="1"/>
  <c r="N22" i="1"/>
  <c r="H8" i="1"/>
  <c r="M4" i="1"/>
  <c r="M37" i="1"/>
  <c r="M39" i="1"/>
  <c r="M41" i="1"/>
  <c r="B47" i="1"/>
  <c r="D17" i="7"/>
  <c r="D18" i="7"/>
  <c r="E26" i="5"/>
  <c r="D24" i="5"/>
  <c r="C19" i="7"/>
  <c r="E9" i="7"/>
  <c r="E10" i="7"/>
  <c r="E16" i="7"/>
  <c r="I14" i="5"/>
  <c r="H12" i="3"/>
  <c r="F11" i="5"/>
  <c r="E9" i="3"/>
  <c r="G4" i="7"/>
  <c r="F6" i="7"/>
  <c r="F8" i="7"/>
  <c r="F13" i="5"/>
  <c r="E11" i="3"/>
  <c r="E19" i="3"/>
  <c r="E20" i="3"/>
  <c r="E25" i="3"/>
  <c r="I18" i="3"/>
  <c r="G3" i="1"/>
  <c r="G4" i="1"/>
  <c r="L25" i="1"/>
  <c r="G2" i="1"/>
  <c r="D2" i="1"/>
  <c r="L4" i="1"/>
  <c r="L5" i="1"/>
  <c r="B46" i="1"/>
  <c r="L3" i="1"/>
  <c r="L34" i="1"/>
  <c r="L39" i="1"/>
  <c r="L40" i="1"/>
  <c r="L16" i="1"/>
  <c r="L14" i="1"/>
  <c r="D16" i="1"/>
  <c r="N2" i="1"/>
  <c r="L13" i="1"/>
  <c r="G7" i="1"/>
  <c r="L12" i="1"/>
  <c r="N38" i="1"/>
  <c r="N32" i="1"/>
  <c r="L38" i="1"/>
  <c r="F4" i="3"/>
  <c r="E8" i="3"/>
  <c r="F12" i="5"/>
  <c r="E10" i="3"/>
  <c r="D33" i="1"/>
  <c r="G31" i="1"/>
  <c r="D35" i="1"/>
  <c r="H42" i="1"/>
  <c r="D13" i="1"/>
  <c r="N14" i="1"/>
  <c r="H35" i="1"/>
  <c r="L56" i="1"/>
  <c r="N56" i="1"/>
  <c r="M54" i="1"/>
  <c r="N54" i="1"/>
  <c r="M52" i="1"/>
  <c r="N52" i="1"/>
  <c r="B9" i="7"/>
  <c r="B10" i="7"/>
  <c r="B16" i="7"/>
  <c r="B18" i="7"/>
  <c r="G35" i="1"/>
  <c r="G27" i="1"/>
  <c r="H14" i="1"/>
  <c r="H16" i="1"/>
  <c r="H9" i="1"/>
  <c r="H7" i="1"/>
  <c r="H2" i="1"/>
  <c r="M25" i="1"/>
  <c r="N25" i="1"/>
  <c r="B25" i="5"/>
  <c r="C25" i="5"/>
  <c r="H15" i="1"/>
  <c r="H3" i="1"/>
  <c r="M14" i="1"/>
  <c r="B48" i="1"/>
  <c r="G5" i="1"/>
  <c r="E24" i="5"/>
  <c r="D19" i="7"/>
  <c r="B23" i="5"/>
  <c r="B5" i="3"/>
  <c r="B26" i="3"/>
  <c r="F26" i="5"/>
  <c r="E17" i="7"/>
  <c r="E18" i="7"/>
  <c r="L41" i="1"/>
  <c r="E13" i="3"/>
  <c r="E24" i="3"/>
  <c r="E28" i="3"/>
  <c r="E6" i="8"/>
  <c r="H4" i="7"/>
  <c r="G6" i="7"/>
  <c r="G8" i="7"/>
  <c r="G11" i="5"/>
  <c r="F9" i="3"/>
  <c r="G13" i="5"/>
  <c r="F11" i="3"/>
  <c r="F19" i="3"/>
  <c r="F20" i="3"/>
  <c r="F25" i="3"/>
  <c r="J14" i="5"/>
  <c r="I12" i="3"/>
  <c r="F9" i="7"/>
  <c r="F10" i="7"/>
  <c r="F16" i="7"/>
  <c r="J18" i="3"/>
  <c r="N40" i="1"/>
  <c r="N34" i="1"/>
  <c r="N39" i="1"/>
  <c r="G16" i="1"/>
  <c r="G15" i="1"/>
  <c r="G9" i="1"/>
  <c r="D27" i="1"/>
  <c r="I7" i="1"/>
  <c r="G14" i="1"/>
  <c r="G8" i="1"/>
  <c r="L23" i="1"/>
  <c r="L26" i="1"/>
  <c r="L24" i="1"/>
  <c r="M26" i="1"/>
  <c r="M23" i="1"/>
  <c r="M24" i="1"/>
  <c r="N3" i="1"/>
  <c r="N4" i="1"/>
  <c r="N5" i="1"/>
  <c r="N16" i="1"/>
  <c r="N13" i="1"/>
  <c r="N12" i="1"/>
  <c r="F10" i="3"/>
  <c r="F8" i="3"/>
  <c r="F13" i="3"/>
  <c r="F24" i="3"/>
  <c r="F28" i="3"/>
  <c r="F6" i="8"/>
  <c r="G12" i="5"/>
  <c r="I3" i="1"/>
  <c r="I2" i="1"/>
  <c r="I4" i="1"/>
  <c r="I5" i="1"/>
  <c r="H28" i="1"/>
  <c r="H29" i="1"/>
  <c r="M21" i="1"/>
  <c r="G4" i="3"/>
  <c r="H31" i="1"/>
  <c r="H36" i="1"/>
  <c r="G42" i="1"/>
  <c r="G39" i="1"/>
  <c r="H39" i="1"/>
  <c r="H37" i="1"/>
  <c r="H17" i="1"/>
  <c r="H10" i="1"/>
  <c r="H32" i="1"/>
  <c r="G28" i="1"/>
  <c r="G29" i="1"/>
  <c r="H5" i="1"/>
  <c r="G36" i="1"/>
  <c r="G37" i="1"/>
  <c r="B20" i="7"/>
  <c r="B21" i="7"/>
  <c r="C4" i="8"/>
  <c r="G10" i="1"/>
  <c r="N41" i="1"/>
  <c r="F24" i="5"/>
  <c r="E19" i="7"/>
  <c r="G26" i="5"/>
  <c r="F17" i="7"/>
  <c r="F18" i="7"/>
  <c r="D25" i="5"/>
  <c r="C20" i="7"/>
  <c r="C21" i="7"/>
  <c r="B6" i="3"/>
  <c r="B8" i="3"/>
  <c r="B13" i="3"/>
  <c r="B24" i="3"/>
  <c r="B27" i="3"/>
  <c r="H13" i="5"/>
  <c r="G11" i="3"/>
  <c r="G19" i="3"/>
  <c r="G20" i="3"/>
  <c r="G25" i="3"/>
  <c r="H11" i="5"/>
  <c r="G9" i="3"/>
  <c r="G9" i="7"/>
  <c r="G10" i="7"/>
  <c r="G16" i="7"/>
  <c r="K14" i="5"/>
  <c r="J12" i="3"/>
  <c r="I4" i="7"/>
  <c r="H6" i="7"/>
  <c r="H8" i="7"/>
  <c r="K18" i="3"/>
  <c r="N26" i="1"/>
  <c r="N23" i="1"/>
  <c r="G17" i="1"/>
  <c r="N24" i="1"/>
  <c r="I16" i="1"/>
  <c r="I9" i="1"/>
  <c r="I15" i="1"/>
  <c r="I14" i="1"/>
  <c r="I8" i="1"/>
  <c r="M51" i="1"/>
  <c r="H12" i="5"/>
  <c r="G10" i="3"/>
  <c r="G8" i="3"/>
  <c r="G13" i="3"/>
  <c r="G24" i="3"/>
  <c r="G28" i="3"/>
  <c r="G6" i="8"/>
  <c r="M20" i="1"/>
  <c r="M15" i="1"/>
  <c r="H4" i="3"/>
  <c r="C8" i="8"/>
  <c r="H40" i="1"/>
  <c r="H43" i="1"/>
  <c r="M55" i="1"/>
  <c r="G40" i="1"/>
  <c r="L21" i="1"/>
  <c r="N21" i="1"/>
  <c r="L20" i="1"/>
  <c r="L15" i="1"/>
  <c r="N15" i="1"/>
  <c r="G43" i="1"/>
  <c r="L55" i="1"/>
  <c r="N55" i="1"/>
  <c r="L51" i="1"/>
  <c r="N51" i="1"/>
  <c r="G32" i="1"/>
  <c r="B28" i="3"/>
  <c r="I10" i="1"/>
  <c r="E25" i="5"/>
  <c r="D20" i="7"/>
  <c r="D21" i="7"/>
  <c r="D4" i="8"/>
  <c r="D8" i="8"/>
  <c r="G17" i="7"/>
  <c r="G18" i="7"/>
  <c r="H26" i="5"/>
  <c r="G24" i="5"/>
  <c r="F19" i="7"/>
  <c r="H9" i="7"/>
  <c r="H10" i="7"/>
  <c r="H16" i="7"/>
  <c r="I11" i="5"/>
  <c r="H9" i="3"/>
  <c r="J4" i="7"/>
  <c r="I6" i="7"/>
  <c r="I8" i="7"/>
  <c r="L14" i="5"/>
  <c r="K12" i="3"/>
  <c r="I13" i="5"/>
  <c r="H11" i="3"/>
  <c r="H19" i="3"/>
  <c r="H20" i="3"/>
  <c r="H25" i="3"/>
  <c r="L18" i="3"/>
  <c r="M18" i="3"/>
  <c r="I17" i="1"/>
  <c r="I12" i="5"/>
  <c r="H10" i="3"/>
  <c r="H8" i="3"/>
  <c r="H13" i="3"/>
  <c r="H24" i="3"/>
  <c r="H28" i="3"/>
  <c r="H6" i="8"/>
  <c r="I4" i="3"/>
  <c r="N20" i="1"/>
  <c r="H24" i="5"/>
  <c r="G19" i="7"/>
  <c r="H17" i="7"/>
  <c r="H18" i="7"/>
  <c r="I26" i="5"/>
  <c r="F25" i="5"/>
  <c r="E20" i="7"/>
  <c r="E21" i="7"/>
  <c r="E4" i="8"/>
  <c r="E8" i="8"/>
  <c r="I9" i="7"/>
  <c r="I10" i="7"/>
  <c r="I16" i="7"/>
  <c r="J6" i="7"/>
  <c r="J8" i="7"/>
  <c r="K4" i="7"/>
  <c r="J13" i="5"/>
  <c r="I11" i="3"/>
  <c r="I19" i="3"/>
  <c r="I20" i="3"/>
  <c r="I25" i="3"/>
  <c r="J11" i="5"/>
  <c r="I9" i="3"/>
  <c r="M14" i="5"/>
  <c r="M12" i="3"/>
  <c r="L12" i="3"/>
  <c r="J12" i="5"/>
  <c r="I10" i="3"/>
  <c r="I8" i="3"/>
  <c r="I13" i="3"/>
  <c r="I24" i="3"/>
  <c r="I28" i="3"/>
  <c r="I6" i="8"/>
  <c r="J4" i="3"/>
  <c r="G25" i="5"/>
  <c r="F20" i="7"/>
  <c r="F21" i="7"/>
  <c r="F4" i="8"/>
  <c r="F8" i="8"/>
  <c r="I24" i="5"/>
  <c r="H19" i="7"/>
  <c r="I17" i="7"/>
  <c r="I18" i="7"/>
  <c r="J26" i="5"/>
  <c r="K11" i="5"/>
  <c r="J9" i="3"/>
  <c r="K13" i="5"/>
  <c r="J11" i="3"/>
  <c r="J19" i="3"/>
  <c r="J20" i="3"/>
  <c r="J25" i="3"/>
  <c r="L4" i="7"/>
  <c r="K6" i="7"/>
  <c r="K8" i="7"/>
  <c r="J9" i="7"/>
  <c r="J10" i="7"/>
  <c r="J16" i="7"/>
  <c r="K12" i="5"/>
  <c r="J10" i="3"/>
  <c r="J8" i="3"/>
  <c r="J13" i="3"/>
  <c r="J24" i="3"/>
  <c r="K4" i="3"/>
  <c r="J24" i="5"/>
  <c r="I19" i="7"/>
  <c r="H25" i="5"/>
  <c r="G20" i="7"/>
  <c r="G21" i="7"/>
  <c r="G4" i="8"/>
  <c r="G8" i="8"/>
  <c r="K26" i="5"/>
  <c r="J17" i="7"/>
  <c r="J18" i="7"/>
  <c r="J28" i="3"/>
  <c r="J6" i="8"/>
  <c r="K9" i="7"/>
  <c r="K10" i="7"/>
  <c r="K16" i="7"/>
  <c r="L6" i="7"/>
  <c r="L8" i="7"/>
  <c r="M4" i="7"/>
  <c r="L13" i="5"/>
  <c r="K11" i="3"/>
  <c r="K19" i="3"/>
  <c r="K20" i="3"/>
  <c r="K25" i="3"/>
  <c r="L11" i="5"/>
  <c r="K9" i="3"/>
  <c r="L4" i="3"/>
  <c r="K8" i="3"/>
  <c r="K10" i="3"/>
  <c r="K13" i="3"/>
  <c r="K24" i="3"/>
  <c r="K28" i="3"/>
  <c r="K6" i="8"/>
  <c r="L12" i="5"/>
  <c r="K17" i="7"/>
  <c r="L26" i="5"/>
  <c r="I25" i="5"/>
  <c r="H20" i="7"/>
  <c r="H21" i="7"/>
  <c r="H4" i="8"/>
  <c r="H8" i="8"/>
  <c r="K18" i="7"/>
  <c r="K24" i="5"/>
  <c r="J19" i="7"/>
  <c r="M6" i="7"/>
  <c r="M8" i="7"/>
  <c r="M9" i="7"/>
  <c r="M10" i="7"/>
  <c r="M16" i="7"/>
  <c r="L9" i="3"/>
  <c r="M11" i="5"/>
  <c r="M9" i="3"/>
  <c r="L9" i="7"/>
  <c r="L10" i="7"/>
  <c r="L16" i="7"/>
  <c r="M13" i="5"/>
  <c r="L11" i="3"/>
  <c r="L19" i="3"/>
  <c r="L20" i="3"/>
  <c r="L25" i="3"/>
  <c r="M12" i="5"/>
  <c r="M10" i="3"/>
  <c r="L10" i="3"/>
  <c r="M4" i="3"/>
  <c r="M8" i="3"/>
  <c r="L8" i="3"/>
  <c r="L24" i="5"/>
  <c r="K19" i="7"/>
  <c r="J25" i="5"/>
  <c r="I20" i="7"/>
  <c r="I21" i="7"/>
  <c r="I4" i="8"/>
  <c r="I8" i="8"/>
  <c r="L17" i="7"/>
  <c r="L18" i="7"/>
  <c r="M26" i="5"/>
  <c r="M17" i="7"/>
  <c r="M19" i="7"/>
  <c r="L13" i="3"/>
  <c r="L24" i="3"/>
  <c r="L28" i="3"/>
  <c r="L6" i="8"/>
  <c r="M11" i="3"/>
  <c r="M13" i="3"/>
  <c r="M24" i="3"/>
  <c r="M19" i="3"/>
  <c r="M20" i="3"/>
  <c r="M25" i="3"/>
  <c r="M18" i="7"/>
  <c r="M24" i="5"/>
  <c r="L19" i="7"/>
  <c r="K25" i="5"/>
  <c r="J20" i="7"/>
  <c r="J21" i="7"/>
  <c r="J4" i="8"/>
  <c r="J8" i="8"/>
  <c r="M28" i="3"/>
  <c r="M6" i="8"/>
  <c r="L25" i="5"/>
  <c r="K20" i="7"/>
  <c r="K21" i="7"/>
  <c r="K4" i="8"/>
  <c r="K8" i="8"/>
  <c r="M25" i="5"/>
  <c r="M20" i="7"/>
  <c r="M21" i="7"/>
  <c r="M4" i="8"/>
  <c r="M8" i="8"/>
  <c r="L20" i="7"/>
  <c r="L21" i="7"/>
  <c r="L4" i="8"/>
  <c r="L8" i="8"/>
  <c r="B10" i="8"/>
  <c r="E12" i="6"/>
  <c r="E15" i="6"/>
  <c r="B118" i="6"/>
  <c r="B119" i="6"/>
  <c r="B120" i="6"/>
  <c r="I119" i="6"/>
  <c r="H119" i="6"/>
  <c r="I120" i="6"/>
  <c r="H120" i="6"/>
  <c r="I118" i="6"/>
  <c r="H1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Aswath Damodaran</author>
  </authors>
  <commentList>
    <comment ref="C9" authorId="0" shapeId="0" xr:uid="{00000000-0006-0000-0600-000001000000}">
      <text>
        <r>
          <rPr>
            <b/>
            <sz val="9"/>
            <color indexed="8"/>
            <rFont val="Geneva"/>
            <family val="2"/>
          </rPr>
          <t>Aswath Damodaran:</t>
        </r>
        <r>
          <rPr>
            <sz val="9"/>
            <color indexed="8"/>
            <rFont val="Geneva"/>
            <family val="2"/>
          </rPr>
          <t xml:space="preserve">
</t>
        </r>
        <r>
          <rPr>
            <sz val="9"/>
            <color indexed="8"/>
            <rFont val="Geneva"/>
            <family val="2"/>
          </rPr>
          <t xml:space="preserve">ST: Short term (Treasury bill)
</t>
        </r>
        <r>
          <rPr>
            <sz val="9"/>
            <color indexed="8"/>
            <rFont val="Geneva"/>
            <family val="2"/>
          </rPr>
          <t>LT: Long term (Treasury bond)</t>
        </r>
      </text>
    </comment>
    <comment ref="C10" authorId="0" shapeId="0" xr:uid="{00000000-0006-0000-0600-000002000000}">
      <text>
        <r>
          <rPr>
            <b/>
            <sz val="9"/>
            <color indexed="8"/>
            <rFont val="Geneva"/>
            <family val="2"/>
          </rPr>
          <t>Aswath Damodaran:</t>
        </r>
        <r>
          <rPr>
            <sz val="9"/>
            <color indexed="8"/>
            <rFont val="Geneva"/>
            <family val="2"/>
          </rPr>
          <t xml:space="preserve">
</t>
        </r>
        <r>
          <rPr>
            <sz val="9"/>
            <color indexed="8"/>
            <rFont val="Geneva"/>
            <family val="2"/>
          </rPr>
          <t>The risk premium will be computed from this year to the current year.</t>
        </r>
      </text>
    </comment>
  </commentList>
</comments>
</file>

<file path=xl/sharedStrings.xml><?xml version="1.0" encoding="utf-8"?>
<sst xmlns="http://schemas.openxmlformats.org/spreadsheetml/2006/main" count="614" uniqueCount="394">
  <si>
    <t>Circulante</t>
  </si>
  <si>
    <t>Caixa e Equivalente de Caixa</t>
  </si>
  <si>
    <t>Contas a Receber de Clientes</t>
  </si>
  <si>
    <t>Estoques</t>
  </si>
  <si>
    <t>Outros Ativos Circulantes</t>
  </si>
  <si>
    <t>Não Circulante</t>
  </si>
  <si>
    <t>Realizável a Longo Prazo</t>
  </si>
  <si>
    <t>Investimentos</t>
  </si>
  <si>
    <t>Imobilizado</t>
  </si>
  <si>
    <t>Intangível</t>
  </si>
  <si>
    <t>TOTAL ATIVO</t>
  </si>
  <si>
    <t>Empréstimos e Financiamentos</t>
  </si>
  <si>
    <t>Fornecedores</t>
  </si>
  <si>
    <t>Impostos e Contribuições a recolher</t>
  </si>
  <si>
    <t>Salários e Encargos Sociais</t>
  </si>
  <si>
    <t>Auguéis a Pagar</t>
  </si>
  <si>
    <t>Outros passivos circulantes</t>
  </si>
  <si>
    <t>Outras Obrigações</t>
  </si>
  <si>
    <t>Patrimônio Líquido</t>
  </si>
  <si>
    <t>TOTAL PASSIVO + PL</t>
  </si>
  <si>
    <t>MÉDIO</t>
  </si>
  <si>
    <t>Receita Operacional Líquida</t>
  </si>
  <si>
    <t>LUCRO BRUTO</t>
  </si>
  <si>
    <t>(-) Despesas Operacionais Líquidas</t>
  </si>
  <si>
    <t>LUCRO ANTES DO RESULTADO FINANCEIRO</t>
  </si>
  <si>
    <t>Receita Financeira</t>
  </si>
  <si>
    <t>Despesas Financeiras</t>
  </si>
  <si>
    <t>LUCRO ANTES DO IR</t>
  </si>
  <si>
    <t>IR e CSLL</t>
  </si>
  <si>
    <t>LUCRO LÍQUIDO</t>
  </si>
  <si>
    <t>DEPRECIAÇÃO - (DFC)</t>
  </si>
  <si>
    <t xml:space="preserve">Investimento Fixo (CAPEX) </t>
  </si>
  <si>
    <t>(Fluxo de Caixa dos Investimentos)</t>
  </si>
  <si>
    <t>Variação do CCL</t>
  </si>
  <si>
    <t>Estrutura Patrimonial</t>
  </si>
  <si>
    <t>AC</t>
  </si>
  <si>
    <t>ANC</t>
  </si>
  <si>
    <t>AP</t>
  </si>
  <si>
    <t>TOTAL</t>
  </si>
  <si>
    <t>PC</t>
  </si>
  <si>
    <t>PNC</t>
  </si>
  <si>
    <t>PL</t>
  </si>
  <si>
    <t>Estrutura de Capital</t>
  </si>
  <si>
    <t>PASSIVO ONEROSO</t>
  </si>
  <si>
    <t>PASSIVO FUNCIONAMENTO</t>
  </si>
  <si>
    <t>Alíquota IR</t>
  </si>
  <si>
    <t>Capital Próprio</t>
  </si>
  <si>
    <t>Investimento</t>
  </si>
  <si>
    <t>Cálculo do NOPAT</t>
  </si>
  <si>
    <t>Lucro Antes do Res. Financ</t>
  </si>
  <si>
    <t>(+) Receita Financ</t>
  </si>
  <si>
    <t>EBIT</t>
  </si>
  <si>
    <t>(-) IR</t>
  </si>
  <si>
    <t>NOPAT AMPLO</t>
  </si>
  <si>
    <t>(-) Despesas Financ</t>
  </si>
  <si>
    <t>(+) Benefício Fiscal</t>
  </si>
  <si>
    <t>NOPAT RESTRITO</t>
  </si>
  <si>
    <t>Cálculo do EBITDA</t>
  </si>
  <si>
    <t>Lucro Antes do IR</t>
  </si>
  <si>
    <t>(+) Depreciação</t>
  </si>
  <si>
    <t>EBITDA</t>
  </si>
  <si>
    <t>ROE</t>
  </si>
  <si>
    <t>NOPAT</t>
  </si>
  <si>
    <t>Fluxo de Caixa Operacional</t>
  </si>
  <si>
    <t>Novas Dívidas</t>
  </si>
  <si>
    <t>CCL (2018)</t>
  </si>
  <si>
    <t>PASSIVO</t>
  </si>
  <si>
    <t>ATIVO</t>
  </si>
  <si>
    <t>DRE</t>
  </si>
  <si>
    <t>Total Ações</t>
  </si>
  <si>
    <t>(-) Custos das Vendas</t>
  </si>
  <si>
    <t>CCL (2019)</t>
  </si>
  <si>
    <t>1928-2019</t>
  </si>
  <si>
    <t>Liquidez</t>
  </si>
  <si>
    <t>Liq. Imediata ou Absoluta</t>
  </si>
  <si>
    <t xml:space="preserve">Liq. Corrente </t>
  </si>
  <si>
    <t>Liq. Seca</t>
  </si>
  <si>
    <t>Liq. Geral</t>
  </si>
  <si>
    <t>Estrutura</t>
  </si>
  <si>
    <t>Imobilização do PL</t>
  </si>
  <si>
    <t>Imobilização Rec. Não Correntes</t>
  </si>
  <si>
    <t>Endividamento</t>
  </si>
  <si>
    <t>Participação do Capital de Terceiros</t>
  </si>
  <si>
    <t>Composição do Envidamento</t>
  </si>
  <si>
    <t>Endividamento Geral</t>
  </si>
  <si>
    <t>Rentabilidade</t>
  </si>
  <si>
    <t>Retorno do Investimento</t>
  </si>
  <si>
    <t>Capital Terceiros</t>
  </si>
  <si>
    <t>Margem Operacional</t>
  </si>
  <si>
    <t>Giro do Investimento</t>
  </si>
  <si>
    <t>Retorno do Ativo</t>
  </si>
  <si>
    <t>Margem Líquida</t>
  </si>
  <si>
    <t>Giro do Ativo</t>
  </si>
  <si>
    <t>Retorno do PL</t>
  </si>
  <si>
    <t>GAF</t>
  </si>
  <si>
    <t>Capital de Giro</t>
  </si>
  <si>
    <t>Ativo Financeiro</t>
  </si>
  <si>
    <t>Ativo Operacional</t>
  </si>
  <si>
    <t>Ativo Circulante</t>
  </si>
  <si>
    <t>Passivo Financeiro</t>
  </si>
  <si>
    <t>Passivo Operacional</t>
  </si>
  <si>
    <t>Passivo Circulante</t>
  </si>
  <si>
    <t>NIG</t>
  </si>
  <si>
    <t>CCL</t>
  </si>
  <si>
    <t>SD</t>
  </si>
  <si>
    <t>RISCO</t>
  </si>
  <si>
    <t>Prazos Médios</t>
  </si>
  <si>
    <t>Prazo Médio de Estocagem</t>
  </si>
  <si>
    <t>Prazo Médio Recebimento</t>
  </si>
  <si>
    <t>Prazo Médio de Pagamentos</t>
  </si>
  <si>
    <t>Ciclo Caixa</t>
  </si>
  <si>
    <t>Ciclo Operacional</t>
  </si>
  <si>
    <t>Cobertura de Juros</t>
  </si>
  <si>
    <t>Cobertura de Juros com NOPAT</t>
  </si>
  <si>
    <t>Cobertura de Juros com EBITDA</t>
  </si>
  <si>
    <t>Margem Bruta</t>
  </si>
  <si>
    <t>Margem do EBITDA</t>
  </si>
  <si>
    <t>Dívida Onerosa total sobre EBITDA</t>
  </si>
  <si>
    <t>Date updated:</t>
  </si>
  <si>
    <t>YouTube Video explaining estimation choices and process.</t>
  </si>
  <si>
    <t>Notes</t>
  </si>
  <si>
    <t>Created by:</t>
  </si>
  <si>
    <t>Aswath Damodaran, adamodar@stern.nyu.edu</t>
  </si>
  <si>
    <t>if you are looking for a pure-play beta, i.e., a beta for a  business, the unlevered beta corrected for cash is your best bet. Since even sector betas can move over time, I have also reported the average of the this sector beta across time in the last column. This number, for obvious reasons, is less likely to be volatile over time.</t>
  </si>
  <si>
    <t>What is this data?</t>
  </si>
  <si>
    <t>Beta, Unlevered beta and other risk measures</t>
  </si>
  <si>
    <t>US companies</t>
  </si>
  <si>
    <t>Home Page:</t>
  </si>
  <si>
    <t>http://www.damodaran.com</t>
  </si>
  <si>
    <t>Data website:</t>
  </si>
  <si>
    <t>http://www.stern.nyu.edu/~adamodar/New_Home_Page/data.html</t>
  </si>
  <si>
    <t>Companies in each industry:</t>
  </si>
  <si>
    <t>http://www.stern.nyu.edu/~adamodar/pc/datasets/indname.xls</t>
  </si>
  <si>
    <t>Variable definitions:</t>
  </si>
  <si>
    <t>http://www.stern.nyu.edu/~adamodar/New_Home_Page/datafile/variable.htm</t>
  </si>
  <si>
    <t>Do you want to use marginal or effective tax rates in unlevering betas?</t>
  </si>
  <si>
    <t>Marginal</t>
  </si>
  <si>
    <t>If marginal tax rate, enter the marginal tax rate to use</t>
  </si>
  <si>
    <t>Unlevered beta corrected for cash - Over time</t>
  </si>
  <si>
    <t>Industry  Name</t>
  </si>
  <si>
    <t>Number of firms</t>
  </si>
  <si>
    <t xml:space="preserve">Beta </t>
  </si>
  <si>
    <t>D/E Ratio</t>
  </si>
  <si>
    <t>Effective Tax rate</t>
  </si>
  <si>
    <t>Unlevered beta</t>
  </si>
  <si>
    <t>Cash/Firm value</t>
  </si>
  <si>
    <t>Unlevered beta corrected for cash</t>
  </si>
  <si>
    <t>HiLo Risk</t>
  </si>
  <si>
    <t>Standard deviation of equity</t>
  </si>
  <si>
    <t>Standard deviation in operating income (last 10 years)</t>
  </si>
  <si>
    <t>2015</t>
  </si>
  <si>
    <t>2016</t>
  </si>
  <si>
    <t>2017</t>
  </si>
  <si>
    <t>2018</t>
  </si>
  <si>
    <t>2019</t>
  </si>
  <si>
    <t>Average (2015-20)</t>
  </si>
  <si>
    <t>Advertising</t>
  </si>
  <si>
    <t>Aerospace/Defense</t>
  </si>
  <si>
    <t>Air Transport</t>
  </si>
  <si>
    <t>Apparel</t>
  </si>
  <si>
    <t>Auto &amp; Truck</t>
  </si>
  <si>
    <t>Auto Parts</t>
  </si>
  <si>
    <t>Bank (Money Center)</t>
  </si>
  <si>
    <t>NA</t>
  </si>
  <si>
    <t>Banks (Regional)</t>
  </si>
  <si>
    <t>Beverage (Alcoholic)</t>
  </si>
  <si>
    <t>Beverage (Soft)</t>
  </si>
  <si>
    <t>Broadcasting</t>
  </si>
  <si>
    <t>Brokerage &amp; Investment Banking</t>
  </si>
  <si>
    <t>Building Materials</t>
  </si>
  <si>
    <t>Business &amp; Consumer Services</t>
  </si>
  <si>
    <t>Cable TV</t>
  </si>
  <si>
    <t>Chemical (Basic)</t>
  </si>
  <si>
    <t>Chemical (Diversified)</t>
  </si>
  <si>
    <t>Chemical (Specialty)</t>
  </si>
  <si>
    <t>Coal &amp; Related Energy</t>
  </si>
  <si>
    <t>Computer Services</t>
  </si>
  <si>
    <t>Computers/Peripherals</t>
  </si>
  <si>
    <t>Construction Supplies</t>
  </si>
  <si>
    <t>Diversified</t>
  </si>
  <si>
    <t>Drugs (Biotechnology)</t>
  </si>
  <si>
    <t>Drugs (Pharmaceutical)</t>
  </si>
  <si>
    <t>Education</t>
  </si>
  <si>
    <t>Electrical Equipment</t>
  </si>
  <si>
    <t>Electronics (Consumer &amp; Office)</t>
  </si>
  <si>
    <t>Electronics (General)</t>
  </si>
  <si>
    <t>Engineering/Construction</t>
  </si>
  <si>
    <t>Entertainment</t>
  </si>
  <si>
    <t>Environmental &amp; Waste Services</t>
  </si>
  <si>
    <t>Farming/Agriculture</t>
  </si>
  <si>
    <t>Financial Svcs. (Non-bank &amp; Insurance)</t>
  </si>
  <si>
    <t>Food Processing</t>
  </si>
  <si>
    <t>Food Wholesalers</t>
  </si>
  <si>
    <t>Furn/Home Furnishings</t>
  </si>
  <si>
    <t>Green &amp; Renewable Energy</t>
  </si>
  <si>
    <t>Healthcare Products</t>
  </si>
  <si>
    <t>Healthcare Support Services</t>
  </si>
  <si>
    <t>Heathcare Information and Technology</t>
  </si>
  <si>
    <t>Homebuilding</t>
  </si>
  <si>
    <t>Hospitals/Healthcare Facilities</t>
  </si>
  <si>
    <t>Hotel/Gaming</t>
  </si>
  <si>
    <t>Household Products</t>
  </si>
  <si>
    <t>Information Services</t>
  </si>
  <si>
    <t>Insurance (General)</t>
  </si>
  <si>
    <t>Insurance (Life)</t>
  </si>
  <si>
    <t>Insurance (Prop/Cas.)</t>
  </si>
  <si>
    <t>Investments &amp; Asset Management</t>
  </si>
  <si>
    <t>Machinery</t>
  </si>
  <si>
    <t>Metals &amp; Mining</t>
  </si>
  <si>
    <t>Office Equipment &amp; Services</t>
  </si>
  <si>
    <t>Oil/Gas (Integrated)</t>
  </si>
  <si>
    <t>Oil/Gas (Production and Exploration)</t>
  </si>
  <si>
    <t>Oil/Gas Distribution</t>
  </si>
  <si>
    <t>Oilfield Svcs/Equip.</t>
  </si>
  <si>
    <t>Packaging &amp; Container</t>
  </si>
  <si>
    <t>Paper/Forest Products</t>
  </si>
  <si>
    <t>Power</t>
  </si>
  <si>
    <t>Precious Metals</t>
  </si>
  <si>
    <t>Publishing &amp; Newspapers</t>
  </si>
  <si>
    <t>R.E.I.T.</t>
  </si>
  <si>
    <t>Real Estate (Development)</t>
  </si>
  <si>
    <t>Real Estate (General/Diversified)</t>
  </si>
  <si>
    <t>Real Estate (Operations &amp; Services)</t>
  </si>
  <si>
    <t>Recreation</t>
  </si>
  <si>
    <t>Reinsurance</t>
  </si>
  <si>
    <t>Restaurant/Dining</t>
  </si>
  <si>
    <t>Retail (Automotive)</t>
  </si>
  <si>
    <t>Retail (Building Supply)</t>
  </si>
  <si>
    <t>Retail (Distributors)</t>
  </si>
  <si>
    <t>Retail (General)</t>
  </si>
  <si>
    <t>Retail (Grocery and Food)</t>
  </si>
  <si>
    <t>Retail (Online)</t>
  </si>
  <si>
    <t>Retail (Special Lines)</t>
  </si>
  <si>
    <t>Rubber&amp; Tires</t>
  </si>
  <si>
    <t>Semiconductor</t>
  </si>
  <si>
    <t>Semiconductor Equip</t>
  </si>
  <si>
    <t>Shipbuilding &amp; Marine</t>
  </si>
  <si>
    <t>Shoe</t>
  </si>
  <si>
    <t>Software (Entertainment)</t>
  </si>
  <si>
    <t>Software (Internet)</t>
  </si>
  <si>
    <t>Software (System &amp; Application)</t>
  </si>
  <si>
    <t>Steel</t>
  </si>
  <si>
    <t>Telecom (Wireless)</t>
  </si>
  <si>
    <t>Telecom. Equipment</t>
  </si>
  <si>
    <t>Telecom. Services</t>
  </si>
  <si>
    <t>Tobacco</t>
  </si>
  <si>
    <t>Transportation</t>
  </si>
  <si>
    <t>Transportation (Railroads)</t>
  </si>
  <si>
    <t>Trucking</t>
  </si>
  <si>
    <t>Utility (General)</t>
  </si>
  <si>
    <t>Utility (Water)</t>
  </si>
  <si>
    <t>Total Market</t>
  </si>
  <si>
    <t>Total Market (without financials)</t>
  </si>
  <si>
    <t>Estrutura de Capital da Empresa Em Análise</t>
  </si>
  <si>
    <t>Capital de Trceiros (oneroso CP + LP)</t>
  </si>
  <si>
    <t>TAXAS ANUAIS</t>
  </si>
  <si>
    <t>Ano-base</t>
  </si>
  <si>
    <t>Ano 1</t>
  </si>
  <si>
    <t>Ano 2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</si>
  <si>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</si>
  <si>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</si>
  <si>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</si>
  <si>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</si>
  <si>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</si>
  <si>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</si>
  <si>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</si>
  <si>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</si>
  <si>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Premissas</t>
  </si>
  <si>
    <t>Premissas Macroeconômicas</t>
  </si>
  <si>
    <t>Fontes</t>
  </si>
  <si>
    <t>(2) https://www.statista.com/statistics/244983/projected-inflation-rate-in-the-united-states/</t>
  </si>
  <si>
    <t>Taxa de inflação americana (2)</t>
  </si>
  <si>
    <t>Taxa de Inflação brasileira (1)</t>
  </si>
  <si>
    <t>(1) Relatório Focus BACEN https://www.bcb.gov.br/publicacoes/focus</t>
  </si>
  <si>
    <t>Taxa de crescimento do PIB (1)</t>
  </si>
  <si>
    <t>Premissas da Empresa</t>
  </si>
  <si>
    <t>Taxa de crescimento das Receitas</t>
  </si>
  <si>
    <t>Taxa de crescimento dos custos</t>
  </si>
  <si>
    <t>Taxa de crescimento das despesas</t>
  </si>
  <si>
    <t>Nível de Endividamento Oneroso (%)</t>
  </si>
  <si>
    <t>Nível de Capital Próprio Estimado (%)</t>
  </si>
  <si>
    <t>Escolha o Setor da Sua Empresa</t>
  </si>
  <si>
    <t>Beta Desalavancado</t>
  </si>
  <si>
    <t>Alíquota do IR</t>
  </si>
  <si>
    <t>Alíquota de Imposto de Renda + CSLL</t>
  </si>
  <si>
    <t>Beta REALAVANCADO</t>
  </si>
  <si>
    <t>Historical returns: Stocks, Bonds &amp; T.Bills with premiums</t>
  </si>
  <si>
    <t>Customized Geometric risk premium estimator</t>
  </si>
  <si>
    <t>What is your riskfree rate?</t>
  </si>
  <si>
    <t>LT</t>
    <phoneticPr fontId="0" type="noConversion"/>
  </si>
  <si>
    <t>Estimates of risk premiums from 1928, over the last 50 years and over the last 10 years</t>
  </si>
  <si>
    <t>Enter your starting year</t>
  </si>
  <si>
    <t>are provided at the bottom of this table.</t>
  </si>
  <si>
    <t>Value of stocks in starting year:</t>
  </si>
  <si>
    <t>Value of T.Bills in starting year:</t>
    <phoneticPr fontId="0" type="noConversion"/>
  </si>
  <si>
    <t>Value of T.bonds in starting year:</t>
  </si>
  <si>
    <t>Estimate of risk premium based on your inputs:</t>
  </si>
  <si>
    <t>Annual Returns on Investments in</t>
  </si>
  <si>
    <t>Value of $100 invested at start of 1928 in</t>
  </si>
  <si>
    <t>Annual Risk Premium</t>
  </si>
  <si>
    <t>Annual Real Returns on</t>
  </si>
  <si>
    <t>Year</t>
  </si>
  <si>
    <t>S&amp;P 500 (includes dividends)</t>
  </si>
  <si>
    <t>3-month T.Bill</t>
  </si>
  <si>
    <t>US T. Bond</t>
  </si>
  <si>
    <t xml:space="preserve"> Baa Corporate Bond</t>
  </si>
  <si>
    <t>S&amp;P 500 (includes dividends)3</t>
  </si>
  <si>
    <t>3-month T.Bill4</t>
  </si>
  <si>
    <t>US T. Bond5</t>
  </si>
  <si>
    <t xml:space="preserve"> Baa Corporate Bond6</t>
  </si>
  <si>
    <t>Stocks - Bills</t>
    <phoneticPr fontId="0" type="noConversion"/>
  </si>
  <si>
    <t>Stocks - Bonds</t>
    <phoneticPr fontId="0" type="noConversion"/>
  </si>
  <si>
    <t>Stocks - Baa Corp Bond</t>
  </si>
  <si>
    <t>Historical risk premium</t>
  </si>
  <si>
    <t>Inflation Rate</t>
  </si>
  <si>
    <t>S&amp;P 500 (includes dividends)2</t>
  </si>
  <si>
    <t>3-month T. Bill (Real)</t>
  </si>
  <si>
    <t>!0-year T.Bonds</t>
  </si>
  <si>
    <t>Baa Corp Bonds</t>
  </si>
  <si>
    <t>Risk Premium</t>
  </si>
  <si>
    <t>Standard Error</t>
    <phoneticPr fontId="0" type="noConversion"/>
  </si>
  <si>
    <t>Arithmetic Average Historical Return</t>
  </si>
  <si>
    <t>Stocks - T.Bills</t>
  </si>
  <si>
    <t>Stocks - T.Bonds</t>
  </si>
  <si>
    <t>Arithmetic Average Annual Real Return</t>
  </si>
  <si>
    <t>1928-2018</t>
  </si>
  <si>
    <t>1970-2019</t>
  </si>
  <si>
    <t>1969-2018</t>
  </si>
  <si>
    <t>2010-2019</t>
  </si>
  <si>
    <t>2009-2018</t>
  </si>
  <si>
    <t>Geometric Average Historical Return</t>
  </si>
  <si>
    <t>orico</t>
  </si>
  <si>
    <r>
      <t xml:space="preserve">Premissas </t>
    </r>
    <r>
      <rPr>
        <b/>
        <i/>
        <sz val="12"/>
        <color theme="1"/>
        <rFont val="Calibri"/>
        <family val="2"/>
        <scheme val="minor"/>
      </rPr>
      <t>Benchmark</t>
    </r>
    <r>
      <rPr>
        <b/>
        <sz val="12"/>
        <color theme="1"/>
        <rFont val="Calibri"/>
        <family val="2"/>
        <scheme val="minor"/>
      </rPr>
      <t xml:space="preserve"> Custo de Capital</t>
    </r>
  </si>
  <si>
    <t>Prêmio Médio Risco de Mercado (Rm - Rf)</t>
  </si>
  <si>
    <t>Taxa Livre de Risco Mercado EUA</t>
  </si>
  <si>
    <t>Risco Brasil EMBI + (3)</t>
  </si>
  <si>
    <t>Data</t>
  </si>
  <si>
    <t>EMBI + Risco-Brasil</t>
  </si>
  <si>
    <t>(3) IPEADATA (http://www.ipeadata.gov.br/ExibeSerie.aspx?serid=40940&amp;module=M)</t>
  </si>
  <si>
    <t>Prêmio de Tamanho</t>
  </si>
  <si>
    <t>CUSTO DE CAPITAL PRÓPRIO</t>
  </si>
  <si>
    <t>CUSTO DO CAPITAL PRÓRIO</t>
  </si>
  <si>
    <t>YouTube Video Guide</t>
  </si>
  <si>
    <t>Cost of equity and capital (updateable)</t>
  </si>
  <si>
    <t>To update this spreadsheet, enter the following</t>
  </si>
  <si>
    <t>Cost of Debt Lookup Table (based on std dev in stock prices)</t>
  </si>
  <si>
    <t>Long Term Treasury bond rate =</t>
  </si>
  <si>
    <t>Standard Deviation</t>
  </si>
  <si>
    <t>Basis Spread</t>
  </si>
  <si>
    <t>Risk Premium to Use for Equity =</t>
  </si>
  <si>
    <t>Global Default Spread to add to cost of debt =</t>
  </si>
  <si>
    <t>Do you want to use the marginal tax rate for cost of debt?</t>
  </si>
  <si>
    <t>Yes</t>
  </si>
  <si>
    <t>If yes, enter the marginal tax rate to use</t>
  </si>
  <si>
    <t>These costs of capital are in US$. To convert to a different currency, please enter</t>
  </si>
  <si>
    <t>Expected inflation rate in local currency =</t>
  </si>
  <si>
    <t>Expected inflation rate in US $ =</t>
  </si>
  <si>
    <t>Industry Name</t>
  </si>
  <si>
    <t>Number of Firms</t>
  </si>
  <si>
    <t>Beta</t>
  </si>
  <si>
    <t>Cost of Equity</t>
  </si>
  <si>
    <t>E/(D+E)</t>
  </si>
  <si>
    <t>Std Dev in Stock</t>
  </si>
  <si>
    <t>Cost of Debt</t>
  </si>
  <si>
    <t>Tax Rate</t>
  </si>
  <si>
    <t>After-tax Cost of Debt</t>
  </si>
  <si>
    <t>D/(D+E)</t>
  </si>
  <si>
    <t>Cost of Capital</t>
  </si>
  <si>
    <t>Cost of Capital (Local Currency)</t>
  </si>
  <si>
    <t>CUSTO DE CAPITAL DE TERCEIROS</t>
  </si>
  <si>
    <t>Despesas Financeiras/Passivo Oneroso</t>
  </si>
  <si>
    <t>Custo de Capital de Terceiros Benchmark</t>
  </si>
  <si>
    <r>
      <t xml:space="preserve">Custo </t>
    </r>
    <r>
      <rPr>
        <sz val="12"/>
        <color theme="1"/>
        <rFont val="Calibri"/>
        <family val="2"/>
        <scheme val="minor"/>
      </rPr>
      <t>do Capital de Terceiros antes do IR</t>
    </r>
  </si>
  <si>
    <t>CUSTO DO CAPITAL DE TERCEIROS LÍQ IR</t>
  </si>
  <si>
    <t>CUSTO TOTAL DE CAPITAL</t>
  </si>
  <si>
    <t>Custo do Capital Próprio</t>
  </si>
  <si>
    <t>Custo do Capital de Terceiros Líquido do IR</t>
  </si>
  <si>
    <t>Percentual de Capital de Terceiros</t>
  </si>
  <si>
    <t>Percentual de Capital Próprio</t>
  </si>
  <si>
    <t xml:space="preserve">WACC </t>
  </si>
  <si>
    <t>Perpetuidade</t>
  </si>
  <si>
    <t>Perpetudade</t>
  </si>
  <si>
    <t>(-) Imposto de Renda e CSLL</t>
  </si>
  <si>
    <t xml:space="preserve">CAPEX como Percentual da Receita </t>
  </si>
  <si>
    <t>Variação do Capital de Giro como Percentual da Receita</t>
  </si>
  <si>
    <t>Free Cash Flow</t>
  </si>
  <si>
    <t>(-) Capex</t>
  </si>
  <si>
    <t>(-) Variação do Capital de Giro</t>
  </si>
  <si>
    <t xml:space="preserve">Depreciação </t>
  </si>
  <si>
    <t>Free Cash Flow da Empresa</t>
  </si>
  <si>
    <t>WACC Acumulado</t>
  </si>
  <si>
    <t>Valor Presente</t>
  </si>
  <si>
    <t>CAPEX</t>
  </si>
  <si>
    <t>Valor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</si>
</sst>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0.0%"/>
    <numFmt numFmtId="168" formatCode="0.000%"/>
    <numFmt numFmtId="169" formatCode="0.0000"/>
    <numFmt numFmtId="170" formatCode="_(* #,##0.00_);_(* \(#,##0.00\);_(* &quot;-&quot;?_);_(@_)"/>
    <numFmt numFmtId="171" formatCode="0.000"/>
    <numFmt numFmtId="172" formatCode="0.0"/>
    <numFmt numFmtId="173" formatCode="_-* #,##0.0_-;\-* #,##0.0_-;_-* &quot;-&quot;?_-;_-@_-"/>
  </numFmts>
  <fonts count="3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Times"/>
      <family val="1"/>
    </font>
    <font>
      <sz val="12"/>
      <name val="Times"/>
      <family val="1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name val="Verdana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4"/>
      <color indexed="10"/>
      <name val="Times"/>
      <family val="1"/>
    </font>
    <font>
      <sz val="14"/>
      <color indexed="10"/>
      <name val="Geneva"/>
      <family val="2"/>
    </font>
    <font>
      <i/>
      <sz val="12"/>
      <name val="Times"/>
      <family val="1"/>
    </font>
    <font>
      <sz val="10"/>
      <name val="Geneva"/>
      <family val="2"/>
    </font>
    <font>
      <i/>
      <sz val="12"/>
      <name val="Calibri"/>
      <family val="2"/>
      <scheme val="minor"/>
    </font>
    <font>
      <b/>
      <i/>
      <sz val="12"/>
      <name val="Times"/>
      <family val="1"/>
    </font>
    <font>
      <b/>
      <sz val="9"/>
      <color indexed="8"/>
      <name val="Geneva"/>
      <family val="2"/>
    </font>
    <font>
      <sz val="9"/>
      <color indexed="8"/>
      <name val="Geneva"/>
      <family val="2"/>
    </font>
    <font>
      <sz val="11"/>
      <color rgb="FF000000"/>
      <name val="Verdana"/>
      <family val="2"/>
    </font>
    <font>
      <sz val="12"/>
      <color rgb="FF000000"/>
      <name val="Calibri"/>
      <family val="2"/>
      <scheme val="minor"/>
    </font>
    <font>
      <b/>
      <i/>
      <sz val="9"/>
      <name val="Geneva"/>
      <family val="2"/>
    </font>
    <font>
      <sz val="9"/>
      <name val="Geneva"/>
      <family val="2"/>
    </font>
    <font>
      <i/>
      <sz val="9"/>
      <name val="Geneva"/>
      <family val="2"/>
    </font>
    <font>
      <b/>
      <sz val="9"/>
      <name val="Geneva"/>
      <family val="2"/>
    </font>
    <font>
      <b/>
      <sz val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30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/>
    <xf numFmtId="165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166" fontId="2" fillId="0" borderId="0" xfId="0" applyNumberFormat="1" applyFont="1"/>
    <xf numFmtId="0" fontId="8" fillId="0" borderId="1" xfId="0" applyFont="1" applyBorder="1" applyAlignment="1">
      <alignment horizontal="center"/>
    </xf>
    <xf numFmtId="10" fontId="0" fillId="0" borderId="0" xfId="0" applyNumberFormat="1"/>
    <xf numFmtId="164" fontId="0" fillId="0" borderId="0" xfId="0" applyNumberForma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165" fontId="2" fillId="0" borderId="1" xfId="1" applyNumberFormat="1" applyFont="1" applyBorder="1"/>
    <xf numFmtId="165" fontId="0" fillId="0" borderId="1" xfId="1" applyNumberFormat="1" applyFont="1" applyBorder="1"/>
    <xf numFmtId="167" fontId="0" fillId="0" borderId="1" xfId="2" applyNumberFormat="1" applyFont="1" applyBorder="1" applyAlignment="1">
      <alignment horizontal="center"/>
    </xf>
    <xf numFmtId="167" fontId="0" fillId="0" borderId="1" xfId="2" applyNumberFormat="1" applyFont="1" applyBorder="1"/>
    <xf numFmtId="167" fontId="0" fillId="0" borderId="1" xfId="0" applyNumberFormat="1" applyBorder="1"/>
    <xf numFmtId="0" fontId="0" fillId="0" borderId="1" xfId="0" applyFont="1" applyBorder="1"/>
    <xf numFmtId="166" fontId="0" fillId="0" borderId="1" xfId="0" applyNumberFormat="1" applyBorder="1"/>
    <xf numFmtId="164" fontId="0" fillId="0" borderId="1" xfId="0" applyNumberFormat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164" fontId="2" fillId="0" borderId="1" xfId="0" applyNumberFormat="1" applyFont="1" applyBorder="1"/>
    <xf numFmtId="10" fontId="0" fillId="0" borderId="0" xfId="2" applyNumberFormat="1" applyFont="1" applyAlignment="1">
      <alignment horizontal="center"/>
    </xf>
    <xf numFmtId="164" fontId="0" fillId="0" borderId="0" xfId="1" applyFont="1"/>
    <xf numFmtId="170" fontId="0" fillId="0" borderId="0" xfId="0" applyNumberFormat="1"/>
    <xf numFmtId="164" fontId="0" fillId="0" borderId="0" xfId="1" applyFon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2" applyFont="1" applyAlignment="1">
      <alignment horizontal="center"/>
    </xf>
    <xf numFmtId="167" fontId="0" fillId="0" borderId="0" xfId="2" applyNumberFormat="1" applyFont="1" applyAlignment="1">
      <alignment horizontal="center"/>
    </xf>
    <xf numFmtId="9" fontId="0" fillId="0" borderId="0" xfId="2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4" fontId="0" fillId="0" borderId="0" xfId="1" applyFont="1" applyAlignmen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7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165" fontId="2" fillId="0" borderId="0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8" fontId="0" fillId="0" borderId="0" xfId="2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9" fillId="2" borderId="5" xfId="0" applyFont="1" applyFill="1" applyBorder="1"/>
    <xf numFmtId="2" fontId="0" fillId="0" borderId="0" xfId="0" applyNumberFormat="1"/>
    <xf numFmtId="0" fontId="9" fillId="2" borderId="11" xfId="0" applyFont="1" applyFill="1" applyBorder="1"/>
    <xf numFmtId="2" fontId="2" fillId="0" borderId="0" xfId="0" applyNumberFormat="1" applyFont="1"/>
    <xf numFmtId="0" fontId="9" fillId="2" borderId="16" xfId="0" applyFont="1" applyFill="1" applyBorder="1"/>
    <xf numFmtId="0" fontId="0" fillId="4" borderId="1" xfId="0" applyFill="1" applyBorder="1" applyAlignment="1">
      <alignment horizontal="center"/>
    </xf>
    <xf numFmtId="0" fontId="12" fillId="0" borderId="0" xfId="0" applyFont="1" applyAlignment="1">
      <alignment horizontal="left"/>
    </xf>
    <xf numFmtId="10" fontId="1" fillId="0" borderId="0" xfId="2" applyNumberFormat="1" applyFont="1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13" fillId="0" borderId="25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0" fontId="13" fillId="0" borderId="26" xfId="0" applyNumberFormat="1" applyFont="1" applyBorder="1" applyAlignment="1">
      <alignment horizontal="center" wrapText="1"/>
    </xf>
    <xf numFmtId="0" fontId="0" fillId="0" borderId="14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2" fillId="0" borderId="14" xfId="0" applyFont="1" applyBorder="1"/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9" fontId="2" fillId="0" borderId="1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9" fontId="2" fillId="0" borderId="3" xfId="0" applyNumberFormat="1" applyFont="1" applyBorder="1" applyAlignment="1">
      <alignment horizontal="center"/>
    </xf>
    <xf numFmtId="10" fontId="2" fillId="0" borderId="17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18" xfId="0" applyBorder="1"/>
    <xf numFmtId="0" fontId="0" fillId="0" borderId="30" xfId="0" applyBorder="1"/>
    <xf numFmtId="0" fontId="0" fillId="0" borderId="17" xfId="0" applyFont="1" applyBorder="1"/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31" xfId="0" applyNumberFormat="1" applyBorder="1" applyAlignment="1">
      <alignment horizontal="center"/>
    </xf>
    <xf numFmtId="0" fontId="0" fillId="4" borderId="0" xfId="0" applyFill="1"/>
    <xf numFmtId="0" fontId="0" fillId="0" borderId="0" xfId="0" applyFill="1" applyBorder="1"/>
    <xf numFmtId="0" fontId="14" fillId="6" borderId="5" xfId="0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4" fillId="6" borderId="11" xfId="0" applyFont="1" applyFill="1" applyBorder="1"/>
    <xf numFmtId="0" fontId="17" fillId="0" borderId="0" xfId="0" applyFont="1"/>
    <xf numFmtId="0" fontId="14" fillId="6" borderId="35" xfId="0" applyFont="1" applyFill="1" applyBorder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20" fillId="0" borderId="17" xfId="0" applyFont="1" applyBorder="1"/>
    <xf numFmtId="0" fontId="8" fillId="0" borderId="18" xfId="0" applyFont="1" applyBorder="1"/>
    <xf numFmtId="0" fontId="8" fillId="0" borderId="28" xfId="0" applyFont="1" applyBorder="1"/>
    <xf numFmtId="0" fontId="20" fillId="0" borderId="26" xfId="0" applyFont="1" applyBorder="1"/>
    <xf numFmtId="0" fontId="8" fillId="0" borderId="32" xfId="0" applyFont="1" applyBorder="1"/>
    <xf numFmtId="0" fontId="8" fillId="0" borderId="25" xfId="0" applyFont="1" applyBorder="1"/>
    <xf numFmtId="44" fontId="21" fillId="8" borderId="1" xfId="57" applyFont="1" applyFill="1" applyBorder="1" applyAlignment="1">
      <alignment horizontal="center"/>
    </xf>
    <xf numFmtId="10" fontId="8" fillId="8" borderId="39" xfId="0" applyNumberFormat="1" applyFont="1" applyFill="1" applyBorder="1" applyAlignment="1">
      <alignment horizontal="center"/>
    </xf>
    <xf numFmtId="0" fontId="7" fillId="0" borderId="40" xfId="0" applyFont="1" applyBorder="1"/>
    <xf numFmtId="0" fontId="7" fillId="0" borderId="0" xfId="0" applyFont="1"/>
    <xf numFmtId="0" fontId="22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44" fontId="11" fillId="0" borderId="1" xfId="57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0" fontId="8" fillId="0" borderId="1" xfId="2" applyNumberFormat="1" applyFont="1" applyBorder="1"/>
    <xf numFmtId="10" fontId="8" fillId="0" borderId="1" xfId="0" applyNumberFormat="1" applyFont="1" applyBorder="1"/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" xfId="0" applyNumberFormat="1" applyBorder="1"/>
    <xf numFmtId="10" fontId="8" fillId="0" borderId="1" xfId="0" applyNumberFormat="1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0" fontId="23" fillId="0" borderId="0" xfId="0" applyFont="1"/>
    <xf numFmtId="0" fontId="8" fillId="0" borderId="1" xfId="0" applyFont="1" applyBorder="1"/>
    <xf numFmtId="10" fontId="8" fillId="0" borderId="4" xfId="2" applyNumberFormat="1" applyFont="1" applyBorder="1" applyAlignment="1">
      <alignment horizontal="center"/>
    </xf>
    <xf numFmtId="10" fontId="8" fillId="0" borderId="0" xfId="2" applyNumberFormat="1" applyFont="1" applyBorder="1" applyAlignment="1">
      <alignment horizontal="center"/>
    </xf>
    <xf numFmtId="10" fontId="8" fillId="0" borderId="1" xfId="2" applyNumberFormat="1" applyFont="1" applyBorder="1" applyAlignment="1">
      <alignment horizontal="center"/>
    </xf>
    <xf numFmtId="0" fontId="26" fillId="0" borderId="0" xfId="0" applyFont="1"/>
    <xf numFmtId="0" fontId="2" fillId="9" borderId="0" xfId="0" applyFont="1" applyFill="1" applyAlignment="1">
      <alignment horizontal="center"/>
    </xf>
    <xf numFmtId="10" fontId="2" fillId="9" borderId="0" xfId="0" applyNumberFormat="1" applyFont="1" applyFill="1" applyAlignment="1">
      <alignment horizontal="center"/>
    </xf>
    <xf numFmtId="0" fontId="27" fillId="0" borderId="0" xfId="0" applyFont="1"/>
    <xf numFmtId="0" fontId="9" fillId="2" borderId="35" xfId="0" applyFont="1" applyFill="1" applyBorder="1"/>
    <xf numFmtId="0" fontId="28" fillId="0" borderId="0" xfId="0" applyFont="1"/>
    <xf numFmtId="0" fontId="29" fillId="0" borderId="0" xfId="0" applyFont="1"/>
    <xf numFmtId="10" fontId="29" fillId="10" borderId="1" xfId="0" applyNumberFormat="1" applyFont="1" applyFill="1" applyBorder="1"/>
    <xf numFmtId="0" fontId="29" fillId="0" borderId="1" xfId="0" applyFont="1" applyBorder="1" applyAlignment="1">
      <alignment horizontal="center"/>
    </xf>
    <xf numFmtId="10" fontId="29" fillId="10" borderId="4" xfId="0" applyNumberFormat="1" applyFont="1" applyFill="1" applyBorder="1"/>
    <xf numFmtId="0" fontId="29" fillId="4" borderId="1" xfId="0" applyFont="1" applyFill="1" applyBorder="1" applyAlignment="1">
      <alignment horizontal="center"/>
    </xf>
    <xf numFmtId="0" fontId="29" fillId="4" borderId="1" xfId="0" applyFont="1" applyFill="1" applyBorder="1"/>
    <xf numFmtId="10" fontId="29" fillId="4" borderId="1" xfId="2" applyNumberFormat="1" applyFont="1" applyFill="1" applyBorder="1" applyAlignment="1">
      <alignment horizontal="center"/>
    </xf>
    <xf numFmtId="10" fontId="29" fillId="4" borderId="1" xfId="0" applyNumberFormat="1" applyFont="1" applyFill="1" applyBorder="1"/>
    <xf numFmtId="0" fontId="29" fillId="10" borderId="2" xfId="0" applyFont="1" applyFill="1" applyBorder="1" applyAlignment="1">
      <alignment horizontal="center"/>
    </xf>
    <xf numFmtId="9" fontId="29" fillId="10" borderId="26" xfId="0" applyNumberFormat="1" applyFont="1" applyFill="1" applyBorder="1" applyAlignment="1">
      <alignment horizontal="center"/>
    </xf>
    <xf numFmtId="0" fontId="30" fillId="0" borderId="0" xfId="0" applyFont="1"/>
    <xf numFmtId="0" fontId="30" fillId="0" borderId="25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29" fillId="0" borderId="25" xfId="0" applyFont="1" applyBorder="1" applyAlignment="1">
      <alignment horizontal="left"/>
    </xf>
    <xf numFmtId="0" fontId="29" fillId="0" borderId="25" xfId="0" applyFont="1" applyBorder="1" applyAlignment="1">
      <alignment horizontal="center"/>
    </xf>
    <xf numFmtId="2" fontId="29" fillId="0" borderId="25" xfId="0" applyNumberFormat="1" applyFont="1" applyBorder="1" applyAlignment="1">
      <alignment horizontal="center"/>
    </xf>
    <xf numFmtId="10" fontId="1" fillId="0" borderId="1" xfId="2" applyNumberFormat="1" applyFont="1" applyBorder="1" applyAlignment="1">
      <alignment horizontal="center"/>
    </xf>
    <xf numFmtId="10" fontId="1" fillId="0" borderId="2" xfId="2" applyNumberFormat="1" applyFont="1" applyBorder="1" applyAlignment="1">
      <alignment horizontal="center"/>
    </xf>
    <xf numFmtId="0" fontId="31" fillId="0" borderId="25" xfId="0" applyFont="1" applyBorder="1" applyAlignment="1">
      <alignment horizontal="left"/>
    </xf>
    <xf numFmtId="0" fontId="31" fillId="0" borderId="25" xfId="0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0" fontId="32" fillId="0" borderId="1" xfId="2" applyNumberFormat="1" applyFont="1" applyBorder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2" fontId="31" fillId="0" borderId="1" xfId="0" applyNumberFormat="1" applyFont="1" applyBorder="1" applyAlignment="1">
      <alignment horizontal="center"/>
    </xf>
    <xf numFmtId="10" fontId="2" fillId="0" borderId="3" xfId="2" applyNumberFormat="1" applyFont="1" applyBorder="1" applyAlignment="1">
      <alignment horizontal="center"/>
    </xf>
    <xf numFmtId="10" fontId="2" fillId="0" borderId="17" xfId="2" applyNumberFormat="1" applyFont="1" applyBorder="1" applyAlignment="1">
      <alignment horizontal="center"/>
    </xf>
    <xf numFmtId="10" fontId="2" fillId="11" borderId="0" xfId="0" applyNumberFormat="1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10" fontId="2" fillId="12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43" fontId="0" fillId="0" borderId="0" xfId="0" applyNumberFormat="1"/>
    <xf numFmtId="43" fontId="2" fillId="0" borderId="0" xfId="0" applyNumberFormat="1" applyFont="1"/>
    <xf numFmtId="0" fontId="0" fillId="0" borderId="1" xfId="0" applyFill="1" applyBorder="1" applyAlignment="1">
      <alignment horizontal="center"/>
    </xf>
    <xf numFmtId="164" fontId="2" fillId="0" borderId="1" xfId="1" applyFont="1" applyBorder="1"/>
    <xf numFmtId="43" fontId="2" fillId="0" borderId="1" xfId="0" applyNumberFormat="1" applyFont="1" applyBorder="1"/>
    <xf numFmtId="164" fontId="0" fillId="0" borderId="1" xfId="1" applyFont="1" applyBorder="1"/>
    <xf numFmtId="43" fontId="0" fillId="0" borderId="1" xfId="0" applyNumberFormat="1" applyBorder="1"/>
    <xf numFmtId="0" fontId="0" fillId="0" borderId="1" xfId="0" applyFill="1" applyBorder="1"/>
    <xf numFmtId="0" fontId="2" fillId="0" borderId="1" xfId="0" applyFont="1" applyFill="1" applyBorder="1"/>
    <xf numFmtId="164" fontId="0" fillId="0" borderId="0" xfId="0" applyNumberFormat="1" applyAlignment="1">
      <alignment horizontal="center"/>
    </xf>
    <xf numFmtId="173" fontId="0" fillId="0" borderId="0" xfId="0" applyNumberFormat="1"/>
    <xf numFmtId="0" fontId="3" fillId="2" borderId="17" xfId="84" applyFill="1" applyBorder="1" applyAlignment="1">
      <alignment horizontal="left"/>
    </xf>
    <xf numFmtId="0" fontId="3" fillId="2" borderId="18" xfId="84" applyFill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5" fontId="10" fillId="2" borderId="6" xfId="0" applyNumberFormat="1" applyFont="1" applyFill="1" applyBorder="1" applyAlignment="1">
      <alignment horizontal="left"/>
    </xf>
    <xf numFmtId="15" fontId="10" fillId="2" borderId="7" xfId="0" applyNumberFormat="1" applyFont="1" applyFill="1" applyBorder="1" applyAlignment="1">
      <alignment horizontal="left"/>
    </xf>
    <xf numFmtId="0" fontId="3" fillId="3" borderId="3" xfId="84" applyFill="1" applyBorder="1" applyAlignment="1">
      <alignment horizontal="left" vertical="top" wrapText="1"/>
    </xf>
    <xf numFmtId="0" fontId="3" fillId="3" borderId="13" xfId="84" applyFill="1" applyBorder="1" applyAlignment="1">
      <alignment horizontal="left" vertical="top" wrapText="1"/>
    </xf>
    <xf numFmtId="0" fontId="3" fillId="3" borderId="4" xfId="84" applyFill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2" borderId="2" xfId="84" applyFill="1" applyBorder="1" applyAlignment="1">
      <alignment horizontal="left"/>
    </xf>
    <xf numFmtId="0" fontId="3" fillId="2" borderId="12" xfId="84" applyFill="1" applyBorder="1" applyAlignment="1">
      <alignment horizontal="left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1" fillId="2" borderId="2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15" fontId="3" fillId="2" borderId="2" xfId="84" applyNumberFormat="1" applyFill="1" applyBorder="1" applyAlignment="1">
      <alignment horizontal="left"/>
    </xf>
    <xf numFmtId="15" fontId="3" fillId="2" borderId="12" xfId="84" applyNumberFormat="1" applyFill="1" applyBorder="1" applyAlignment="1">
      <alignment horizontal="left"/>
    </xf>
    <xf numFmtId="0" fontId="3" fillId="2" borderId="2" xfId="84" applyFill="1" applyBorder="1"/>
    <xf numFmtId="0" fontId="3" fillId="2" borderId="12" xfId="84" applyFill="1" applyBorder="1"/>
    <xf numFmtId="14" fontId="26" fillId="0" borderId="0" xfId="0" applyNumberFormat="1" applyFont="1"/>
    <xf numFmtId="0" fontId="26" fillId="0" borderId="0" xfId="0" applyFont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6" borderId="2" xfId="84" applyFill="1" applyBorder="1" applyAlignment="1" applyProtection="1">
      <alignment horizontal="left"/>
    </xf>
    <xf numFmtId="0" fontId="3" fillId="6" borderId="12" xfId="84" applyFill="1" applyBorder="1" applyAlignment="1" applyProtection="1">
      <alignment horizontal="left"/>
    </xf>
    <xf numFmtId="0" fontId="3" fillId="6" borderId="34" xfId="84" applyFill="1" applyBorder="1" applyAlignment="1" applyProtection="1">
      <alignment horizontal="left"/>
    </xf>
    <xf numFmtId="0" fontId="3" fillId="6" borderId="36" xfId="84" applyFill="1" applyBorder="1" applyAlignment="1" applyProtection="1">
      <alignment horizontal="left"/>
    </xf>
    <xf numFmtId="0" fontId="3" fillId="6" borderId="37" xfId="84" applyFill="1" applyBorder="1" applyAlignment="1" applyProtection="1">
      <alignment horizontal="left"/>
    </xf>
    <xf numFmtId="0" fontId="3" fillId="6" borderId="38" xfId="84" applyFill="1" applyBorder="1" applyAlignment="1" applyProtection="1">
      <alignment horizontal="left"/>
    </xf>
    <xf numFmtId="15" fontId="15" fillId="6" borderId="6" xfId="0" applyNumberFormat="1" applyFont="1" applyFill="1" applyBorder="1" applyAlignment="1">
      <alignment horizontal="left"/>
    </xf>
    <xf numFmtId="15" fontId="15" fillId="6" borderId="7" xfId="0" applyNumberFormat="1" applyFont="1" applyFill="1" applyBorder="1" applyAlignment="1">
      <alignment horizontal="left"/>
    </xf>
    <xf numFmtId="15" fontId="15" fillId="6" borderId="33" xfId="0" applyNumberFormat="1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16" fillId="6" borderId="12" xfId="0" applyFont="1" applyFill="1" applyBorder="1" applyAlignment="1">
      <alignment horizontal="left"/>
    </xf>
    <xf numFmtId="0" fontId="16" fillId="6" borderId="14" xfId="0" applyFont="1" applyFill="1" applyBorder="1" applyAlignment="1">
      <alignment horizontal="left"/>
    </xf>
    <xf numFmtId="0" fontId="16" fillId="6" borderId="34" xfId="0" applyFont="1" applyFill="1" applyBorder="1" applyAlignment="1">
      <alignment horizontal="left"/>
    </xf>
    <xf numFmtId="15" fontId="3" fillId="6" borderId="2" xfId="84" applyNumberFormat="1" applyFill="1" applyBorder="1" applyAlignment="1" applyProtection="1">
      <alignment horizontal="left"/>
    </xf>
    <xf numFmtId="15" fontId="3" fillId="6" borderId="12" xfId="84" applyNumberFormat="1" applyFill="1" applyBorder="1" applyAlignment="1" applyProtection="1">
      <alignment horizontal="left"/>
    </xf>
    <xf numFmtId="15" fontId="3" fillId="6" borderId="34" xfId="84" applyNumberFormat="1" applyFill="1" applyBorder="1" applyAlignment="1" applyProtection="1">
      <alignment horizontal="left"/>
    </xf>
    <xf numFmtId="0" fontId="3" fillId="6" borderId="2" xfId="84" applyFill="1" applyBorder="1" applyAlignment="1" applyProtection="1"/>
    <xf numFmtId="0" fontId="3" fillId="6" borderId="12" xfId="84" applyFill="1" applyBorder="1" applyAlignment="1" applyProtection="1"/>
    <xf numFmtId="0" fontId="3" fillId="6" borderId="34" xfId="84" applyFill="1" applyBorder="1" applyAlignment="1" applyProtection="1"/>
    <xf numFmtId="0" fontId="23" fillId="0" borderId="41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3" fillId="2" borderId="36" xfId="84" applyFill="1" applyBorder="1" applyAlignment="1">
      <alignment horizontal="left"/>
    </xf>
    <xf numFmtId="0" fontId="3" fillId="2" borderId="37" xfId="84" applyFill="1" applyBorder="1" applyAlignment="1">
      <alignment horizontal="left"/>
    </xf>
    <xf numFmtId="0" fontId="3" fillId="2" borderId="38" xfId="84" applyFill="1" applyBorder="1" applyAlignment="1">
      <alignment horizontal="left"/>
    </xf>
    <xf numFmtId="15" fontId="10" fillId="2" borderId="33" xfId="0" applyNumberFormat="1" applyFont="1" applyFill="1" applyBorder="1" applyAlignment="1">
      <alignment horizontal="left"/>
    </xf>
    <xf numFmtId="0" fontId="3" fillId="2" borderId="34" xfId="84" applyFill="1" applyBorder="1" applyAlignment="1">
      <alignment horizontal="left"/>
    </xf>
    <xf numFmtId="0" fontId="3" fillId="3" borderId="0" xfId="84" applyFill="1" applyAlignment="1">
      <alignment horizontal="center" vertical="top" wrapText="1"/>
    </xf>
    <xf numFmtId="0" fontId="11" fillId="2" borderId="34" xfId="0" applyFont="1" applyFill="1" applyBorder="1" applyAlignment="1">
      <alignment horizontal="left"/>
    </xf>
    <xf numFmtId="15" fontId="3" fillId="2" borderId="34" xfId="84" applyNumberFormat="1" applyFill="1" applyBorder="1" applyAlignment="1">
      <alignment horizontal="left"/>
    </xf>
    <xf numFmtId="0" fontId="3" fillId="2" borderId="34" xfId="84" applyFill="1" applyBorder="1"/>
  </cellXfs>
  <cellStyles count="85"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Moeda" xfId="57" builtinId="4"/>
    <cellStyle name="Normal" xfId="0" builtinId="0"/>
    <cellStyle name="Porcentagem" xfId="2" builtinId="5"/>
    <cellStyle name="Vírgula" xfId="1" builtinId="3"/>
  </cellStyles>
  <dxfs count="77">
    <dxf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Genev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scheme val="none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"/>
        <scheme val="none"/>
      </font>
      <numFmt numFmtId="14" formatCode="0.00%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9" formatCode="0.00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571500</xdr:colOff>
      <xdr:row>2</xdr:row>
      <xdr:rowOff>0</xdr:rowOff>
    </xdr:from>
    <xdr:ext cx="184731" cy="264431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83A0BF8C-CC29-6641-A240-B908B0190E1C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571500</xdr:colOff>
      <xdr:row>2</xdr:row>
      <xdr:rowOff>0</xdr:rowOff>
    </xdr:from>
    <xdr:ext cx="184731" cy="264431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F9B8370D-DF2D-ED49-A227-4772480AF378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571500</xdr:colOff>
      <xdr:row>2</xdr:row>
      <xdr:rowOff>0</xdr:rowOff>
    </xdr:from>
    <xdr:ext cx="184731" cy="264431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C9898B39-FE68-2B47-BDC0-74037DE8900C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571500</xdr:colOff>
      <xdr:row>2</xdr:row>
      <xdr:rowOff>0</xdr:rowOff>
    </xdr:from>
    <xdr:ext cx="184731" cy="26443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79B61C36-D62B-2C48-8D69-F50907B9106F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571500</xdr:colOff>
      <xdr:row>2</xdr:row>
      <xdr:rowOff>0</xdr:rowOff>
    </xdr:from>
    <xdr:ext cx="184731" cy="264431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C19B55C-8707-5745-9839-27C5E4850F2B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571500</xdr:colOff>
      <xdr:row>2</xdr:row>
      <xdr:rowOff>0</xdr:rowOff>
    </xdr:from>
    <xdr:ext cx="184731" cy="264431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BFDD04EC-9196-D248-8446-A5F8A85A36D8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571500</xdr:colOff>
      <xdr:row>2</xdr:row>
      <xdr:rowOff>0</xdr:rowOff>
    </xdr:from>
    <xdr:ext cx="184731" cy="26443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B6C78C83-AF3F-2E4A-B8EC-DCC87C90A6AA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571500</xdr:colOff>
      <xdr:row>2</xdr:row>
      <xdr:rowOff>0</xdr:rowOff>
    </xdr:from>
    <xdr:ext cx="184731" cy="264431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FDC7ABF-7F04-3B42-8479-FADDA5FBC8C2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571500</xdr:colOff>
      <xdr:row>2</xdr:row>
      <xdr:rowOff>0</xdr:rowOff>
    </xdr:from>
    <xdr:ext cx="184731" cy="264431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9B8640CE-BA86-EA4C-A134-F45B20318B17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11</xdr:col>
      <xdr:colOff>571500</xdr:colOff>
      <xdr:row>2</xdr:row>
      <xdr:rowOff>0</xdr:rowOff>
    </xdr:from>
    <xdr:ext cx="184731" cy="264431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C15DBAA-D99A-C447-82B9-548D8808193E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571500</xdr:colOff>
      <xdr:row>15</xdr:row>
      <xdr:rowOff>0</xdr:rowOff>
    </xdr:from>
    <xdr:ext cx="184731" cy="264431"/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9571DEAF-25CF-4141-AE4B-A0A574A88D2E}"/>
            </a:ext>
          </a:extLst>
        </xdr:cNvPr>
        <xdr:cNvSpPr txBox="1"/>
      </xdr:nvSpPr>
      <xdr:spPr>
        <a:xfrm>
          <a:off x="4254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571500</xdr:colOff>
      <xdr:row>15</xdr:row>
      <xdr:rowOff>0</xdr:rowOff>
    </xdr:from>
    <xdr:ext cx="184731" cy="264431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87F11E00-364F-EF4B-9344-21F884D95E24}"/>
            </a:ext>
          </a:extLst>
        </xdr:cNvPr>
        <xdr:cNvSpPr txBox="1"/>
      </xdr:nvSpPr>
      <xdr:spPr>
        <a:xfrm>
          <a:off x="50800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571500</xdr:colOff>
      <xdr:row>15</xdr:row>
      <xdr:rowOff>0</xdr:rowOff>
    </xdr:from>
    <xdr:ext cx="184731" cy="26443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6892C698-846A-9F49-9304-75D42473C4F8}"/>
            </a:ext>
          </a:extLst>
        </xdr:cNvPr>
        <xdr:cNvSpPr txBox="1"/>
      </xdr:nvSpPr>
      <xdr:spPr>
        <a:xfrm>
          <a:off x="5905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571500</xdr:colOff>
      <xdr:row>15</xdr:row>
      <xdr:rowOff>0</xdr:rowOff>
    </xdr:from>
    <xdr:ext cx="184731" cy="26443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1C5295EA-6BA3-E644-A7D9-8C68C07C8E5F}"/>
            </a:ext>
          </a:extLst>
        </xdr:cNvPr>
        <xdr:cNvSpPr txBox="1"/>
      </xdr:nvSpPr>
      <xdr:spPr>
        <a:xfrm>
          <a:off x="67310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571500</xdr:colOff>
      <xdr:row>15</xdr:row>
      <xdr:rowOff>0</xdr:rowOff>
    </xdr:from>
    <xdr:ext cx="184731" cy="264431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54A558FE-230D-FF47-A8DC-62909CD58391}"/>
            </a:ext>
          </a:extLst>
        </xdr:cNvPr>
        <xdr:cNvSpPr txBox="1"/>
      </xdr:nvSpPr>
      <xdr:spPr>
        <a:xfrm>
          <a:off x="7556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571500</xdr:colOff>
      <xdr:row>15</xdr:row>
      <xdr:rowOff>0</xdr:rowOff>
    </xdr:from>
    <xdr:ext cx="184731" cy="264431"/>
    <xdr:sp macro="" textlink="">
      <xdr:nvSpPr>
        <xdr:cNvPr id="19" name="CaixaDeTexto 18">
          <a:extLst>
            <a:ext uri="{FF2B5EF4-FFF2-40B4-BE49-F238E27FC236}">
              <a16:creationId xmlns:a16="http://schemas.microsoft.com/office/drawing/2014/main" id="{CFE536E5-0EC8-9349-AF5A-81CA2BD346A1}"/>
            </a:ext>
          </a:extLst>
        </xdr:cNvPr>
        <xdr:cNvSpPr txBox="1"/>
      </xdr:nvSpPr>
      <xdr:spPr>
        <a:xfrm>
          <a:off x="83820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571500</xdr:colOff>
      <xdr:row>15</xdr:row>
      <xdr:rowOff>0</xdr:rowOff>
    </xdr:from>
    <xdr:ext cx="184731" cy="264431"/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F0381C90-C949-DF49-9CBC-0E6ADC7A35D8}"/>
            </a:ext>
          </a:extLst>
        </xdr:cNvPr>
        <xdr:cNvSpPr txBox="1"/>
      </xdr:nvSpPr>
      <xdr:spPr>
        <a:xfrm>
          <a:off x="9207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571500</xdr:colOff>
      <xdr:row>15</xdr:row>
      <xdr:rowOff>0</xdr:rowOff>
    </xdr:from>
    <xdr:ext cx="184731" cy="264431"/>
    <xdr:sp macro="" textlink="">
      <xdr:nvSpPr>
        <xdr:cNvPr id="21" name="CaixaDeTexto 20">
          <a:extLst>
            <a:ext uri="{FF2B5EF4-FFF2-40B4-BE49-F238E27FC236}">
              <a16:creationId xmlns:a16="http://schemas.microsoft.com/office/drawing/2014/main" id="{5465C7C4-3253-3545-9609-659344779FD2}"/>
            </a:ext>
          </a:extLst>
        </xdr:cNvPr>
        <xdr:cNvSpPr txBox="1"/>
      </xdr:nvSpPr>
      <xdr:spPr>
        <a:xfrm>
          <a:off x="100330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571500</xdr:colOff>
      <xdr:row>15</xdr:row>
      <xdr:rowOff>0</xdr:rowOff>
    </xdr:from>
    <xdr:ext cx="184731" cy="264431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81B9250D-6C56-124E-BF0D-C2A30245BE60}"/>
            </a:ext>
          </a:extLst>
        </xdr:cNvPr>
        <xdr:cNvSpPr txBox="1"/>
      </xdr:nvSpPr>
      <xdr:spPr>
        <a:xfrm>
          <a:off x="108585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11</xdr:col>
      <xdr:colOff>571500</xdr:colOff>
      <xdr:row>15</xdr:row>
      <xdr:rowOff>0</xdr:rowOff>
    </xdr:from>
    <xdr:ext cx="184731" cy="264431"/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06FB73CA-42E3-974A-A4D0-1876445C6E5D}"/>
            </a:ext>
          </a:extLst>
        </xdr:cNvPr>
        <xdr:cNvSpPr txBox="1"/>
      </xdr:nvSpPr>
      <xdr:spPr>
        <a:xfrm>
          <a:off x="116840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571500</xdr:colOff>
      <xdr:row>15</xdr:row>
      <xdr:rowOff>0</xdr:rowOff>
    </xdr:from>
    <xdr:ext cx="184731" cy="264431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45880435-FA34-8E4E-B54D-B30FE38B4C68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571500</xdr:colOff>
      <xdr:row>15</xdr:row>
      <xdr:rowOff>0</xdr:rowOff>
    </xdr:from>
    <xdr:ext cx="184731" cy="264431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C6572C78-B9E6-7947-B505-CF5E782DC581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571500</xdr:colOff>
      <xdr:row>15</xdr:row>
      <xdr:rowOff>0</xdr:rowOff>
    </xdr:from>
    <xdr:ext cx="184731" cy="264431"/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AD0E393D-8EEC-454C-9C02-515E26F32D5E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571500</xdr:colOff>
      <xdr:row>15</xdr:row>
      <xdr:rowOff>0</xdr:rowOff>
    </xdr:from>
    <xdr:ext cx="184731" cy="264431"/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5482309C-C5F7-2A4A-990F-32D07FBC1F78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571500</xdr:colOff>
      <xdr:row>15</xdr:row>
      <xdr:rowOff>0</xdr:rowOff>
    </xdr:from>
    <xdr:ext cx="184731" cy="264431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id="{0F4ADE71-535C-4B44-A98E-45EFA78E154E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571500</xdr:colOff>
      <xdr:row>15</xdr:row>
      <xdr:rowOff>0</xdr:rowOff>
    </xdr:from>
    <xdr:ext cx="184731" cy="264431"/>
    <xdr:sp macro="" textlink="">
      <xdr:nvSpPr>
        <xdr:cNvPr id="29" name="CaixaDeTexto 28">
          <a:extLst>
            <a:ext uri="{FF2B5EF4-FFF2-40B4-BE49-F238E27FC236}">
              <a16:creationId xmlns:a16="http://schemas.microsoft.com/office/drawing/2014/main" id="{4A76BB05-553D-6D40-9000-94BF81793372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571500</xdr:colOff>
      <xdr:row>15</xdr:row>
      <xdr:rowOff>0</xdr:rowOff>
    </xdr:from>
    <xdr:ext cx="184731" cy="264431"/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054C0742-F887-AB47-B48B-448ABD0E9749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571500</xdr:colOff>
      <xdr:row>15</xdr:row>
      <xdr:rowOff>0</xdr:rowOff>
    </xdr:from>
    <xdr:ext cx="184731" cy="264431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49D1D8BA-96F7-2245-8473-69CC20227EBD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11</xdr:col>
      <xdr:colOff>571500</xdr:colOff>
      <xdr:row>15</xdr:row>
      <xdr:rowOff>0</xdr:rowOff>
    </xdr:from>
    <xdr:ext cx="184731" cy="264431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5C31B1AD-6A35-E345-8168-88ADEFEABE11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571500</xdr:colOff>
      <xdr:row>22</xdr:row>
      <xdr:rowOff>0</xdr:rowOff>
    </xdr:from>
    <xdr:ext cx="184731" cy="264431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E7958A2F-3D61-3E4F-B2F6-4581E314C19E}"/>
            </a:ext>
          </a:extLst>
        </xdr:cNvPr>
        <xdr:cNvSpPr txBox="1"/>
      </xdr:nvSpPr>
      <xdr:spPr>
        <a:xfrm>
          <a:off x="4254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571500</xdr:colOff>
      <xdr:row>22</xdr:row>
      <xdr:rowOff>0</xdr:rowOff>
    </xdr:from>
    <xdr:ext cx="184731" cy="264431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id="{A74F1C62-0A8E-1E40-9B8D-8B37A1EE422D}"/>
            </a:ext>
          </a:extLst>
        </xdr:cNvPr>
        <xdr:cNvSpPr txBox="1"/>
      </xdr:nvSpPr>
      <xdr:spPr>
        <a:xfrm>
          <a:off x="5080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571500</xdr:colOff>
      <xdr:row>22</xdr:row>
      <xdr:rowOff>0</xdr:rowOff>
    </xdr:from>
    <xdr:ext cx="184731" cy="264431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A03046BD-4690-B249-8DF8-C426AE93AC57}"/>
            </a:ext>
          </a:extLst>
        </xdr:cNvPr>
        <xdr:cNvSpPr txBox="1"/>
      </xdr:nvSpPr>
      <xdr:spPr>
        <a:xfrm>
          <a:off x="5905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571500</xdr:colOff>
      <xdr:row>22</xdr:row>
      <xdr:rowOff>0</xdr:rowOff>
    </xdr:from>
    <xdr:ext cx="184731" cy="264431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23F16A8A-02A4-D447-84A3-529604A2385D}"/>
            </a:ext>
          </a:extLst>
        </xdr:cNvPr>
        <xdr:cNvSpPr txBox="1"/>
      </xdr:nvSpPr>
      <xdr:spPr>
        <a:xfrm>
          <a:off x="6731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571500</xdr:colOff>
      <xdr:row>22</xdr:row>
      <xdr:rowOff>0</xdr:rowOff>
    </xdr:from>
    <xdr:ext cx="184731" cy="264431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id="{38E176F6-CAAF-704D-B53A-845302E4BD34}"/>
            </a:ext>
          </a:extLst>
        </xdr:cNvPr>
        <xdr:cNvSpPr txBox="1"/>
      </xdr:nvSpPr>
      <xdr:spPr>
        <a:xfrm>
          <a:off x="7556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571500</xdr:colOff>
      <xdr:row>22</xdr:row>
      <xdr:rowOff>0</xdr:rowOff>
    </xdr:from>
    <xdr:ext cx="184731" cy="264431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id="{9733F729-6A7F-FB4B-AC7E-D768047BE39D}"/>
            </a:ext>
          </a:extLst>
        </xdr:cNvPr>
        <xdr:cNvSpPr txBox="1"/>
      </xdr:nvSpPr>
      <xdr:spPr>
        <a:xfrm>
          <a:off x="8382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571500</xdr:colOff>
      <xdr:row>22</xdr:row>
      <xdr:rowOff>0</xdr:rowOff>
    </xdr:from>
    <xdr:ext cx="184731" cy="264431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C4FEE953-D2C8-0F4D-A0B5-71AF9B555A9E}"/>
            </a:ext>
          </a:extLst>
        </xdr:cNvPr>
        <xdr:cNvSpPr txBox="1"/>
      </xdr:nvSpPr>
      <xdr:spPr>
        <a:xfrm>
          <a:off x="9207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571500</xdr:colOff>
      <xdr:row>22</xdr:row>
      <xdr:rowOff>0</xdr:rowOff>
    </xdr:from>
    <xdr:ext cx="184731" cy="264431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id="{F7FD6E55-1A45-364F-9239-FCBBA4ADE18C}"/>
            </a:ext>
          </a:extLst>
        </xdr:cNvPr>
        <xdr:cNvSpPr txBox="1"/>
      </xdr:nvSpPr>
      <xdr:spPr>
        <a:xfrm>
          <a:off x="10033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571500</xdr:colOff>
      <xdr:row>22</xdr:row>
      <xdr:rowOff>0</xdr:rowOff>
    </xdr:from>
    <xdr:ext cx="184731" cy="26443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E2249D61-A0B3-A34A-AF5F-2ED497356DE0}"/>
            </a:ext>
          </a:extLst>
        </xdr:cNvPr>
        <xdr:cNvSpPr txBox="1"/>
      </xdr:nvSpPr>
      <xdr:spPr>
        <a:xfrm>
          <a:off x="10858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11</xdr:col>
      <xdr:colOff>571500</xdr:colOff>
      <xdr:row>22</xdr:row>
      <xdr:rowOff>0</xdr:rowOff>
    </xdr:from>
    <xdr:ext cx="184731" cy="264431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9B0A63BB-6C3C-CD47-80D5-78DFD68C7B09}"/>
            </a:ext>
          </a:extLst>
        </xdr:cNvPr>
        <xdr:cNvSpPr txBox="1"/>
      </xdr:nvSpPr>
      <xdr:spPr>
        <a:xfrm>
          <a:off x="11684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571500</xdr:colOff>
      <xdr:row>22</xdr:row>
      <xdr:rowOff>0</xdr:rowOff>
    </xdr:from>
    <xdr:ext cx="184731" cy="264431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27B022AC-E671-5F4F-9DC5-8F08391C4841}"/>
            </a:ext>
          </a:extLst>
        </xdr:cNvPr>
        <xdr:cNvSpPr txBox="1"/>
      </xdr:nvSpPr>
      <xdr:spPr>
        <a:xfrm>
          <a:off x="5080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4</xdr:col>
      <xdr:colOff>571500</xdr:colOff>
      <xdr:row>22</xdr:row>
      <xdr:rowOff>0</xdr:rowOff>
    </xdr:from>
    <xdr:ext cx="184731" cy="264431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id="{C075B401-AA2F-0042-8520-72398E78893E}"/>
            </a:ext>
          </a:extLst>
        </xdr:cNvPr>
        <xdr:cNvSpPr txBox="1"/>
      </xdr:nvSpPr>
      <xdr:spPr>
        <a:xfrm>
          <a:off x="5905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5</xdr:col>
      <xdr:colOff>571500</xdr:colOff>
      <xdr:row>22</xdr:row>
      <xdr:rowOff>0</xdr:rowOff>
    </xdr:from>
    <xdr:ext cx="184731" cy="264431"/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146DD435-1019-5E40-AFDE-4575B6CF6A70}"/>
            </a:ext>
          </a:extLst>
        </xdr:cNvPr>
        <xdr:cNvSpPr txBox="1"/>
      </xdr:nvSpPr>
      <xdr:spPr>
        <a:xfrm>
          <a:off x="6731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6</xdr:col>
      <xdr:colOff>571500</xdr:colOff>
      <xdr:row>22</xdr:row>
      <xdr:rowOff>0</xdr:rowOff>
    </xdr:from>
    <xdr:ext cx="184731" cy="264431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F9657E0D-521C-CD4B-B208-B3DEADA75E56}"/>
            </a:ext>
          </a:extLst>
        </xdr:cNvPr>
        <xdr:cNvSpPr txBox="1"/>
      </xdr:nvSpPr>
      <xdr:spPr>
        <a:xfrm>
          <a:off x="7556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7</xdr:col>
      <xdr:colOff>571500</xdr:colOff>
      <xdr:row>22</xdr:row>
      <xdr:rowOff>0</xdr:rowOff>
    </xdr:from>
    <xdr:ext cx="184731" cy="264431"/>
    <xdr:sp macro="" textlink="">
      <xdr:nvSpPr>
        <xdr:cNvPr id="47" name="CaixaDeTexto 46">
          <a:extLst>
            <a:ext uri="{FF2B5EF4-FFF2-40B4-BE49-F238E27FC236}">
              <a16:creationId xmlns:a16="http://schemas.microsoft.com/office/drawing/2014/main" id="{F33E150F-2284-A740-8E46-13CF9A5BE115}"/>
            </a:ext>
          </a:extLst>
        </xdr:cNvPr>
        <xdr:cNvSpPr txBox="1"/>
      </xdr:nvSpPr>
      <xdr:spPr>
        <a:xfrm>
          <a:off x="8382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571500</xdr:colOff>
      <xdr:row>22</xdr:row>
      <xdr:rowOff>0</xdr:rowOff>
    </xdr:from>
    <xdr:ext cx="184731" cy="264431"/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7FCD23C9-7929-BE4C-A365-7B03BF12FAC7}"/>
            </a:ext>
          </a:extLst>
        </xdr:cNvPr>
        <xdr:cNvSpPr txBox="1"/>
      </xdr:nvSpPr>
      <xdr:spPr>
        <a:xfrm>
          <a:off x="9207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571500</xdr:colOff>
      <xdr:row>22</xdr:row>
      <xdr:rowOff>0</xdr:rowOff>
    </xdr:from>
    <xdr:ext cx="184731" cy="264431"/>
    <xdr:sp macro="" textlink="">
      <xdr:nvSpPr>
        <xdr:cNvPr id="49" name="CaixaDeTexto 48">
          <a:extLst>
            <a:ext uri="{FF2B5EF4-FFF2-40B4-BE49-F238E27FC236}">
              <a16:creationId xmlns:a16="http://schemas.microsoft.com/office/drawing/2014/main" id="{93A26B10-C0D9-FE4D-941D-B07C1212690E}"/>
            </a:ext>
          </a:extLst>
        </xdr:cNvPr>
        <xdr:cNvSpPr txBox="1"/>
      </xdr:nvSpPr>
      <xdr:spPr>
        <a:xfrm>
          <a:off x="10033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571500</xdr:colOff>
      <xdr:row>22</xdr:row>
      <xdr:rowOff>0</xdr:rowOff>
    </xdr:from>
    <xdr:ext cx="184731" cy="264431"/>
    <xdr:sp macro="" textlink="">
      <xdr:nvSpPr>
        <xdr:cNvPr id="50" name="CaixaDeTexto 49">
          <a:extLst>
            <a:ext uri="{FF2B5EF4-FFF2-40B4-BE49-F238E27FC236}">
              <a16:creationId xmlns:a16="http://schemas.microsoft.com/office/drawing/2014/main" id="{09D1C788-C2A4-4141-99F5-69E378A0D3A6}"/>
            </a:ext>
          </a:extLst>
        </xdr:cNvPr>
        <xdr:cNvSpPr txBox="1"/>
      </xdr:nvSpPr>
      <xdr:spPr>
        <a:xfrm>
          <a:off x="108585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11</xdr:col>
      <xdr:colOff>571500</xdr:colOff>
      <xdr:row>22</xdr:row>
      <xdr:rowOff>0</xdr:rowOff>
    </xdr:from>
    <xdr:ext cx="184731" cy="264431"/>
    <xdr:sp macro="" textlink="">
      <xdr:nvSpPr>
        <xdr:cNvPr id="51" name="CaixaDeTexto 50">
          <a:extLst>
            <a:ext uri="{FF2B5EF4-FFF2-40B4-BE49-F238E27FC236}">
              <a16:creationId xmlns:a16="http://schemas.microsoft.com/office/drawing/2014/main" id="{94AF6470-F6D3-354D-80F9-6D949A77E22F}"/>
            </a:ext>
          </a:extLst>
        </xdr:cNvPr>
        <xdr:cNvSpPr txBox="1"/>
      </xdr:nvSpPr>
      <xdr:spPr>
        <a:xfrm>
          <a:off x="11684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571500</xdr:colOff>
      <xdr:row>2</xdr:row>
      <xdr:rowOff>0</xdr:rowOff>
    </xdr:from>
    <xdr:ext cx="184731" cy="264431"/>
    <xdr:sp macro="" textlink="">
      <xdr:nvSpPr>
        <xdr:cNvPr id="52" name="CaixaDeTexto 51">
          <a:extLst>
            <a:ext uri="{FF2B5EF4-FFF2-40B4-BE49-F238E27FC236}">
              <a16:creationId xmlns:a16="http://schemas.microsoft.com/office/drawing/2014/main" id="{DCDAF6CF-D5D7-854A-B96D-3798897E7DCD}"/>
            </a:ext>
          </a:extLst>
        </xdr:cNvPr>
        <xdr:cNvSpPr txBox="1"/>
      </xdr:nvSpPr>
      <xdr:spPr>
        <a:xfrm>
          <a:off x="11684000" y="406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571500</xdr:colOff>
      <xdr:row>15</xdr:row>
      <xdr:rowOff>0</xdr:rowOff>
    </xdr:from>
    <xdr:ext cx="184731" cy="264431"/>
    <xdr:sp macro="" textlink="">
      <xdr:nvSpPr>
        <xdr:cNvPr id="53" name="CaixaDeTexto 52">
          <a:extLst>
            <a:ext uri="{FF2B5EF4-FFF2-40B4-BE49-F238E27FC236}">
              <a16:creationId xmlns:a16="http://schemas.microsoft.com/office/drawing/2014/main" id="{3A7A53EA-96CE-824F-8A97-84BD4BCF0FC3}"/>
            </a:ext>
          </a:extLst>
        </xdr:cNvPr>
        <xdr:cNvSpPr txBox="1"/>
      </xdr:nvSpPr>
      <xdr:spPr>
        <a:xfrm>
          <a:off x="11684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571500</xdr:colOff>
      <xdr:row>15</xdr:row>
      <xdr:rowOff>0</xdr:rowOff>
    </xdr:from>
    <xdr:ext cx="184731" cy="264431"/>
    <xdr:sp macro="" textlink="">
      <xdr:nvSpPr>
        <xdr:cNvPr id="54" name="CaixaDeTexto 53">
          <a:extLst>
            <a:ext uri="{FF2B5EF4-FFF2-40B4-BE49-F238E27FC236}">
              <a16:creationId xmlns:a16="http://schemas.microsoft.com/office/drawing/2014/main" id="{90542421-95D0-0540-BCB8-5F31B83E87B9}"/>
            </a:ext>
          </a:extLst>
        </xdr:cNvPr>
        <xdr:cNvSpPr txBox="1"/>
      </xdr:nvSpPr>
      <xdr:spPr>
        <a:xfrm>
          <a:off x="11684000" y="30480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571500</xdr:colOff>
      <xdr:row>22</xdr:row>
      <xdr:rowOff>0</xdr:rowOff>
    </xdr:from>
    <xdr:ext cx="184731" cy="264431"/>
    <xdr:sp macro="" textlink="">
      <xdr:nvSpPr>
        <xdr:cNvPr id="55" name="CaixaDeTexto 54">
          <a:extLst>
            <a:ext uri="{FF2B5EF4-FFF2-40B4-BE49-F238E27FC236}">
              <a16:creationId xmlns:a16="http://schemas.microsoft.com/office/drawing/2014/main" id="{EF763AA1-84CE-9842-9C43-D54DF6F89EA8}"/>
            </a:ext>
          </a:extLst>
        </xdr:cNvPr>
        <xdr:cNvSpPr txBox="1"/>
      </xdr:nvSpPr>
      <xdr:spPr>
        <a:xfrm>
          <a:off x="11684000" y="4470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12</xdr:col>
      <xdr:colOff>571500</xdr:colOff>
      <xdr:row>22</xdr:row>
      <xdr:rowOff>0</xdr:rowOff>
    </xdr:from>
    <xdr:ext cx="184731" cy="264431"/>
    <xdr:sp macro="" textlink="">
      <xdr:nvSpPr>
        <xdr:cNvPr id="56" name="CaixaDeTexto 55">
          <a:extLst>
            <a:ext uri="{FF2B5EF4-FFF2-40B4-BE49-F238E27FC236}">
              <a16:creationId xmlns:a16="http://schemas.microsoft.com/office/drawing/2014/main" id="{3AB23258-A8B7-2942-BA82-630247ACE634}"/>
            </a:ext>
          </a:extLst>
        </xdr:cNvPr>
        <xdr:cNvSpPr txBox="1"/>
      </xdr:nvSpPr>
      <xdr:spPr>
        <a:xfrm>
          <a:off x="11684000" y="44704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0</xdr:rowOff>
    </xdr:from>
    <xdr:to>
      <xdr:col>20</xdr:col>
      <xdr:colOff>114300</xdr:colOff>
      <xdr:row>1</xdr:row>
      <xdr:rowOff>63500</xdr:rowOff>
    </xdr:to>
    <xdr:pic>
      <xdr:nvPicPr>
        <xdr:cNvPr id="2" name="Imagem 1" descr="(Descending)">
          <a:extLst>
            <a:ext uri="{FF2B5EF4-FFF2-40B4-BE49-F238E27FC236}">
              <a16:creationId xmlns:a16="http://schemas.microsoft.com/office/drawing/2014/main" id="{AAC0E0A7-BFF4-7B47-B03E-5711FDE18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5800" y="0"/>
          <a:ext cx="1143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nolima/Downloads/be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ustry Average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Q106" totalsRowShown="0" headerRowDxfId="58" dataDxfId="56" headerRowBorderDxfId="57" tableBorderDxfId="55" totalsRowBorderDxfId="54">
  <tableColumns count="17">
    <tableColumn id="1" xr3:uid="{00000000-0010-0000-0000-000001000000}" name="Industry  Name" dataDxfId="53"/>
    <tableColumn id="2" xr3:uid="{00000000-0010-0000-0000-000002000000}" name="Number of firms" dataDxfId="52"/>
    <tableColumn id="3" xr3:uid="{00000000-0010-0000-0000-000003000000}" name="Beta " dataDxfId="51"/>
    <tableColumn id="4" xr3:uid="{00000000-0010-0000-0000-000004000000}" name="D/E Ratio" dataDxfId="50"/>
    <tableColumn id="5" xr3:uid="{00000000-0010-0000-0000-000005000000}" name="Effective Tax rate" dataDxfId="49"/>
    <tableColumn id="6" xr3:uid="{00000000-0010-0000-0000-000006000000}" name="Unlevered beta" dataDxfId="48">
      <calculatedColumnFormula>IF($F$8="Effective",C11/(1+(1-E11)*D11),C11/(1+(1-$F$9)*D11))</calculatedColumnFormula>
    </tableColumn>
    <tableColumn id="7" xr3:uid="{00000000-0010-0000-0000-000007000000}" name="Cash/Firm value" dataDxfId="47"/>
    <tableColumn id="8" xr3:uid="{00000000-0010-0000-0000-000008000000}" name="Unlevered beta corrected for cash" dataDxfId="46">
      <calculatedColumnFormula>F11/(1-G11)</calculatedColumnFormula>
    </tableColumn>
    <tableColumn id="9" xr3:uid="{00000000-0010-0000-0000-000009000000}" name="HiLo Risk" dataDxfId="45"/>
    <tableColumn id="10" xr3:uid="{00000000-0010-0000-0000-00000A000000}" name="Standard deviation of equity" dataDxfId="44"/>
    <tableColumn id="11" xr3:uid="{00000000-0010-0000-0000-00000B000000}" name="Standard deviation in operating income (last 10 years)" dataDxfId="43"/>
    <tableColumn id="12" xr3:uid="{00000000-0010-0000-0000-00000C000000}" name="2015" dataDxfId="42"/>
    <tableColumn id="13" xr3:uid="{00000000-0010-0000-0000-00000D000000}" name="2016" dataDxfId="41"/>
    <tableColumn id="14" xr3:uid="{00000000-0010-0000-0000-00000E000000}" name="2017" dataDxfId="40"/>
    <tableColumn id="18" xr3:uid="{00000000-0010-0000-0000-000012000000}" name="2018" dataDxfId="39"/>
    <tableColumn id="19" xr3:uid="{00000000-0010-0000-0000-000013000000}" name="2019" dataDxfId="38"/>
    <tableColumn id="17" xr3:uid="{00000000-0010-0000-0000-000011000000}" name="Average (2015-20)" dataDxfId="37">
      <calculatedColumnFormula>AVERAGE('[1]Industry Averages'!$H11,'[1]Industry Averages'!$L11:$P11)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8:R110" totalsRowShown="0" headerRowDxfId="36" headerRowBorderDxfId="35" tableBorderDxfId="34">
  <autoFilter ref="A18:R110" xr:uid="{00000000-0009-0000-0100-000002000000}"/>
  <tableColumns count="18">
    <tableColumn id="1" xr3:uid="{00000000-0010-0000-0100-000001000000}" name="Year" dataDxfId="33"/>
    <tableColumn id="2" xr3:uid="{00000000-0010-0000-0100-000002000000}" name="S&amp;P 500 (includes dividends)" dataDxfId="32"/>
    <tableColumn id="3" xr3:uid="{00000000-0010-0000-0100-000003000000}" name="3-month T.Bill" dataDxfId="31"/>
    <tableColumn id="4" xr3:uid="{00000000-0010-0000-0100-000004000000}" name="US T. Bond" dataDxfId="30"/>
    <tableColumn id="16" xr3:uid="{00000000-0010-0000-0100-000010000000}" name=" Baa Corporate Bond" dataDxfId="29"/>
    <tableColumn id="5" xr3:uid="{00000000-0010-0000-0100-000005000000}" name="S&amp;P 500 (includes dividends)3" dataDxfId="28"/>
    <tableColumn id="6" xr3:uid="{00000000-0010-0000-0100-000006000000}" name="3-month T.Bill4" dataDxfId="27"/>
    <tableColumn id="7" xr3:uid="{00000000-0010-0000-0100-000007000000}" name="US T. Bond5" dataDxfId="26"/>
    <tableColumn id="17" xr3:uid="{00000000-0010-0000-0100-000011000000}" name=" Baa Corporate Bond6" dataDxfId="25"/>
    <tableColumn id="8" xr3:uid="{00000000-0010-0000-0100-000008000000}" name="Stocks - Bills" dataDxfId="24"/>
    <tableColumn id="9" xr3:uid="{00000000-0010-0000-0100-000009000000}" name="Stocks - Bonds" dataDxfId="23"/>
    <tableColumn id="18" xr3:uid="{00000000-0010-0000-0100-000012000000}" name="Stocks - Baa Corp Bond" dataDxfId="22"/>
    <tableColumn id="10" xr3:uid="{00000000-0010-0000-0100-00000A000000}" name="Historical risk premium" dataDxfId="21"/>
    <tableColumn id="11" xr3:uid="{00000000-0010-0000-0100-00000B000000}" name="Inflation Rate" dataDxfId="20"/>
    <tableColumn id="12" xr3:uid="{00000000-0010-0000-0100-00000C000000}" name="S&amp;P 500 (includes dividends)2" dataDxfId="19"/>
    <tableColumn id="13" xr3:uid="{00000000-0010-0000-0100-00000D000000}" name="3-month T. Bill (Real)" dataDxfId="18"/>
    <tableColumn id="14" xr3:uid="{00000000-0010-0000-0100-00000E000000}" name="!0-year T.Bonds" dataDxfId="17"/>
    <tableColumn id="19" xr3:uid="{00000000-0010-0000-0100-000013000000}" name="Baa Corp Bonds" dataDxfId="1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A19:L115" totalsRowShown="0" headerRowDxfId="15" dataDxfId="13" headerRowBorderDxfId="14" tableBorderDxfId="12">
  <autoFilter ref="A19:L115" xr:uid="{00000000-0009-0000-0100-000003000000}"/>
  <tableColumns count="12">
    <tableColumn id="1" xr3:uid="{00000000-0010-0000-0200-000001000000}" name="Industry Name" dataDxfId="11"/>
    <tableColumn id="2" xr3:uid="{00000000-0010-0000-0200-000002000000}" name="Number of Firms" dataDxfId="10"/>
    <tableColumn id="3" xr3:uid="{00000000-0010-0000-0200-000003000000}" name="Beta" dataDxfId="9"/>
    <tableColumn id="4" xr3:uid="{00000000-0010-0000-0200-000004000000}" name="Cost of Equity" dataDxfId="8">
      <calculatedColumnFormula>$D$9+C20*$D$10</calculatedColumnFormula>
    </tableColumn>
    <tableColumn id="5" xr3:uid="{00000000-0010-0000-0200-000005000000}" name="E/(D+E)" dataDxfId="7"/>
    <tableColumn id="6" xr3:uid="{00000000-0010-0000-0200-000006000000}" name="Std Dev in Stock" dataDxfId="6"/>
    <tableColumn id="7" xr3:uid="{00000000-0010-0000-0200-000007000000}" name="Cost of Debt" dataDxfId="5">
      <calculatedColumnFormula>$D$9+VLOOKUP(F20,$G$10:$I$16,3)+$D$11</calculatedColumnFormula>
    </tableColumn>
    <tableColumn id="8" xr3:uid="{00000000-0010-0000-0200-000008000000}" name="Tax Rate" dataDxfId="4"/>
    <tableColumn id="9" xr3:uid="{00000000-0010-0000-0200-000009000000}" name="After-tax Cost of Debt" dataDxfId="3">
      <calculatedColumnFormula>IF($F$12="Yes",G20*(1-$F$13),G20*(1-H20))</calculatedColumnFormula>
    </tableColumn>
    <tableColumn id="10" xr3:uid="{00000000-0010-0000-0200-00000A000000}" name="D/(D+E)" dataDxfId="2">
      <calculatedColumnFormula>1-E20</calculatedColumnFormula>
    </tableColumn>
    <tableColumn id="11" xr3:uid="{00000000-0010-0000-0200-00000B000000}" name="Cost of Capital" dataDxfId="1">
      <calculatedColumnFormula>D20*(1-J20)+I20*J20</calculatedColumnFormula>
    </tableColumn>
    <tableColumn id="12" xr3:uid="{00000000-0010-0000-0200-00000C000000}" name="Cost of Capital (Local Currency)" dataDxfId="0">
      <calculatedColumnFormula>(1+K20)*((1+$C$16)/(1+$C$17))-1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ern.nyu.edu/~adamodar/New_Home_Page/data.html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6" Type="http://schemas.openxmlformats.org/officeDocument/2006/relationships/hyperlink" Target="https://youtu.be/rxmttgceSjg" TargetMode="External"/><Relationship Id="rId5" Type="http://schemas.openxmlformats.org/officeDocument/2006/relationships/hyperlink" Target="http://www.stern.nyu.edu/~adamodar/New_Home_Page/datafile/variable.htm" TargetMode="External"/><Relationship Id="rId4" Type="http://schemas.openxmlformats.org/officeDocument/2006/relationships/hyperlink" Target="http://www.stern.nyu.edu/~adamodar/pc/datasets/indname.xl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://www.stern.nyu.edu/~adamodar/New_Home_Page/data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://www.stern.nyu.edu/~adamodar/New_Home_Page/datafile/variable.htm" TargetMode="External"/><Relationship Id="rId4" Type="http://schemas.openxmlformats.org/officeDocument/2006/relationships/hyperlink" Target="http://www.stern.nyu.edu/~adamodar/pc/datasets/indname.xls" TargetMode="External"/><Relationship Id="rId9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ern.nyu.edu/~adamodar/New_Home_Page/data.html" TargetMode="External"/><Relationship Id="rId7" Type="http://schemas.openxmlformats.org/officeDocument/2006/relationships/table" Target="../tables/table3.xml"/><Relationship Id="rId2" Type="http://schemas.openxmlformats.org/officeDocument/2006/relationships/hyperlink" Target="http://www.damodaran.com/" TargetMode="External"/><Relationship Id="rId1" Type="http://schemas.openxmlformats.org/officeDocument/2006/relationships/hyperlink" Target="mailto:adamodar@stern.nyu.edu?subject=Data%20on%20website" TargetMode="External"/><Relationship Id="rId6" Type="http://schemas.openxmlformats.org/officeDocument/2006/relationships/hyperlink" Target="https://youtu.be/ypvQuufNUrY" TargetMode="External"/><Relationship Id="rId5" Type="http://schemas.openxmlformats.org/officeDocument/2006/relationships/hyperlink" Target="http://www.stern.nyu.edu/~adamodar/New_Home_Page/datafile/variable.htm" TargetMode="External"/><Relationship Id="rId4" Type="http://schemas.openxmlformats.org/officeDocument/2006/relationships/hyperlink" Target="http://www.stern.nyu.edu/~adamodar/pc/datasets/indnam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B11" sqref="B11"/>
    </sheetView>
  </sheetViews>
  <sheetFormatPr defaultColWidth="11" defaultRowHeight="15.75"/>
  <cols>
    <col min="1" max="1" width="47.625" customWidth="1"/>
    <col min="2" max="2" width="12.125" bestFit="1" customWidth="1"/>
    <col min="3" max="12" width="11.5" bestFit="1" customWidth="1"/>
    <col min="13" max="13" width="12" bestFit="1" customWidth="1"/>
  </cols>
  <sheetData>
    <row r="1" spans="1:13">
      <c r="A1" t="s">
        <v>267</v>
      </c>
    </row>
    <row r="2" spans="1:13">
      <c r="A2" s="1" t="s">
        <v>268</v>
      </c>
      <c r="B2" s="28">
        <f ca="1">YEAR(TODAY())</f>
        <v>2020</v>
      </c>
      <c r="C2" s="28">
        <f ca="1">B2+1</f>
        <v>2021</v>
      </c>
      <c r="D2" s="28">
        <f t="shared" ref="D2:M2" ca="1" si="0">C2+1</f>
        <v>2022</v>
      </c>
      <c r="E2" s="28">
        <f t="shared" ca="1" si="0"/>
        <v>2023</v>
      </c>
      <c r="F2" s="28">
        <f t="shared" ca="1" si="0"/>
        <v>2024</v>
      </c>
      <c r="G2" s="28">
        <f t="shared" ca="1" si="0"/>
        <v>2025</v>
      </c>
      <c r="H2" s="28">
        <f t="shared" ca="1" si="0"/>
        <v>2026</v>
      </c>
      <c r="I2" s="28">
        <f t="shared" ca="1" si="0"/>
        <v>2027</v>
      </c>
      <c r="J2" s="28">
        <f t="shared" ca="1" si="0"/>
        <v>2028</v>
      </c>
      <c r="K2" s="28">
        <f t="shared" ca="1" si="0"/>
        <v>2029</v>
      </c>
      <c r="L2" s="28">
        <f t="shared" ca="1" si="0"/>
        <v>2030</v>
      </c>
      <c r="M2" s="28">
        <f t="shared" ca="1" si="0"/>
        <v>2031</v>
      </c>
    </row>
    <row r="3" spans="1:13">
      <c r="A3" s="86" t="s">
        <v>255</v>
      </c>
      <c r="B3" s="84" t="s">
        <v>256</v>
      </c>
      <c r="C3" s="89" t="s">
        <v>257</v>
      </c>
      <c r="D3" s="89" t="s">
        <v>258</v>
      </c>
      <c r="E3" s="89" t="s">
        <v>259</v>
      </c>
      <c r="F3" s="89" t="s">
        <v>260</v>
      </c>
      <c r="G3" s="89" t="s">
        <v>261</v>
      </c>
      <c r="H3" s="89" t="s">
        <v>262</v>
      </c>
      <c r="I3" s="89" t="s">
        <v>263</v>
      </c>
      <c r="J3" s="89" t="s">
        <v>264</v>
      </c>
      <c r="K3" s="89" t="s">
        <v>265</v>
      </c>
      <c r="L3" s="90" t="s">
        <v>266</v>
      </c>
      <c r="M3" s="180" t="s">
        <v>380</v>
      </c>
    </row>
    <row r="4" spans="1:13">
      <c r="A4" s="85" t="s">
        <v>274</v>
      </c>
      <c r="B4" s="88">
        <v>-6.5000000000000002E-2</v>
      </c>
      <c r="C4" s="88">
        <v>0.03</v>
      </c>
      <c r="D4" s="88">
        <v>3.5000000000000003E-2</v>
      </c>
      <c r="E4" s="88">
        <v>3.5000000000000003E-2</v>
      </c>
      <c r="F4" s="88">
        <f>E4</f>
        <v>3.5000000000000003E-2</v>
      </c>
      <c r="G4" s="88">
        <f t="shared" ref="G4:L4" si="1">F4</f>
        <v>3.5000000000000003E-2</v>
      </c>
      <c r="H4" s="88">
        <f t="shared" si="1"/>
        <v>3.5000000000000003E-2</v>
      </c>
      <c r="I4" s="88">
        <f t="shared" si="1"/>
        <v>3.5000000000000003E-2</v>
      </c>
      <c r="J4" s="88">
        <f t="shared" si="1"/>
        <v>3.5000000000000003E-2</v>
      </c>
      <c r="K4" s="88">
        <f t="shared" si="1"/>
        <v>3.5000000000000003E-2</v>
      </c>
      <c r="L4" s="88">
        <f t="shared" si="1"/>
        <v>3.5000000000000003E-2</v>
      </c>
      <c r="M4" s="88">
        <f t="shared" ref="M4" si="2">L4</f>
        <v>3.5000000000000003E-2</v>
      </c>
    </row>
    <row r="5" spans="1:13">
      <c r="A5" s="85" t="s">
        <v>272</v>
      </c>
      <c r="B5" s="88">
        <v>1.6E-2</v>
      </c>
      <c r="C5" s="88">
        <v>0.03</v>
      </c>
      <c r="D5" s="88">
        <v>3.5000000000000003E-2</v>
      </c>
      <c r="E5" s="88">
        <v>3.5000000000000003E-2</v>
      </c>
      <c r="F5" s="88">
        <f>E5</f>
        <v>3.5000000000000003E-2</v>
      </c>
      <c r="G5" s="88">
        <f t="shared" ref="G5:L5" si="3">F5</f>
        <v>3.5000000000000003E-2</v>
      </c>
      <c r="H5" s="88">
        <f t="shared" si="3"/>
        <v>3.5000000000000003E-2</v>
      </c>
      <c r="I5" s="88">
        <f t="shared" si="3"/>
        <v>3.5000000000000003E-2</v>
      </c>
      <c r="J5" s="88">
        <f t="shared" si="3"/>
        <v>3.5000000000000003E-2</v>
      </c>
      <c r="K5" s="88">
        <f t="shared" si="3"/>
        <v>3.5000000000000003E-2</v>
      </c>
      <c r="L5" s="88">
        <f t="shared" si="3"/>
        <v>3.5000000000000003E-2</v>
      </c>
      <c r="M5" s="88">
        <f t="shared" ref="M5" si="4">L5</f>
        <v>3.5000000000000003E-2</v>
      </c>
    </row>
    <row r="6" spans="1:13">
      <c r="A6" s="85" t="s">
        <v>271</v>
      </c>
      <c r="B6" s="88">
        <v>2E-3</v>
      </c>
      <c r="C6" s="88">
        <v>0.02</v>
      </c>
      <c r="D6" s="88">
        <v>0.02</v>
      </c>
      <c r="E6" s="88">
        <v>0.02</v>
      </c>
      <c r="F6" s="88">
        <v>0.02</v>
      </c>
      <c r="G6" s="88">
        <v>0.02</v>
      </c>
      <c r="H6" s="88">
        <v>0.02</v>
      </c>
      <c r="I6" s="88">
        <v>0.02</v>
      </c>
      <c r="J6" s="88">
        <v>0.02</v>
      </c>
      <c r="K6" s="88">
        <v>0.02</v>
      </c>
      <c r="L6" s="92">
        <v>0.02</v>
      </c>
      <c r="M6" s="92">
        <v>0.02</v>
      </c>
    </row>
    <row r="7" spans="1:13">
      <c r="A7" s="94" t="s">
        <v>284</v>
      </c>
      <c r="B7" s="87">
        <v>0.34</v>
      </c>
      <c r="C7" s="87">
        <v>0.34</v>
      </c>
      <c r="D7" s="87">
        <v>0.34</v>
      </c>
      <c r="E7" s="87">
        <v>0.34</v>
      </c>
      <c r="F7" s="87">
        <v>0.34</v>
      </c>
      <c r="G7" s="87">
        <v>0.34</v>
      </c>
      <c r="H7" s="87">
        <v>0.34</v>
      </c>
      <c r="I7" s="87">
        <v>0.34</v>
      </c>
      <c r="J7" s="87">
        <v>0.34</v>
      </c>
      <c r="K7" s="87">
        <v>0.34</v>
      </c>
      <c r="L7" s="87">
        <v>0.34</v>
      </c>
      <c r="M7" s="87">
        <v>0.34</v>
      </c>
    </row>
    <row r="10" spans="1:13">
      <c r="A10" s="1" t="s">
        <v>332</v>
      </c>
      <c r="B10" s="28">
        <f ca="1">YEAR(TODAY())</f>
        <v>2020</v>
      </c>
      <c r="C10" s="28">
        <f ca="1">B10+1</f>
        <v>2021</v>
      </c>
      <c r="D10" s="28">
        <f t="shared" ref="D10:L10" ca="1" si="5">C10+1</f>
        <v>2022</v>
      </c>
      <c r="E10" s="28">
        <f t="shared" ca="1" si="5"/>
        <v>2023</v>
      </c>
      <c r="F10" s="28">
        <f t="shared" ca="1" si="5"/>
        <v>2024</v>
      </c>
      <c r="G10" s="28">
        <f t="shared" ca="1" si="5"/>
        <v>2025</v>
      </c>
      <c r="H10" s="28">
        <f t="shared" ca="1" si="5"/>
        <v>2026</v>
      </c>
      <c r="I10" s="28">
        <f t="shared" ca="1" si="5"/>
        <v>2027</v>
      </c>
      <c r="J10" s="28">
        <f t="shared" ca="1" si="5"/>
        <v>2028</v>
      </c>
      <c r="K10" s="28">
        <f t="shared" ca="1" si="5"/>
        <v>2029</v>
      </c>
      <c r="L10" s="28">
        <f t="shared" ca="1" si="5"/>
        <v>2030</v>
      </c>
      <c r="M10" s="28" t="str">
        <f>M3</f>
        <v>Perpetuidade</v>
      </c>
    </row>
    <row r="11" spans="1:13">
      <c r="A11" t="s">
        <v>333</v>
      </c>
      <c r="B11" s="88">
        <f>'Benchmark CAPM'!I113</f>
        <v>6.425921943151941E-2</v>
      </c>
      <c r="C11" s="88">
        <f>B11</f>
        <v>6.425921943151941E-2</v>
      </c>
      <c r="D11" s="88">
        <f t="shared" ref="D11:L11" si="6">C11</f>
        <v>6.425921943151941E-2</v>
      </c>
      <c r="E11" s="88">
        <f t="shared" si="6"/>
        <v>6.425921943151941E-2</v>
      </c>
      <c r="F11" s="88">
        <f t="shared" si="6"/>
        <v>6.425921943151941E-2</v>
      </c>
      <c r="G11" s="88">
        <f t="shared" si="6"/>
        <v>6.425921943151941E-2</v>
      </c>
      <c r="H11" s="88">
        <f t="shared" si="6"/>
        <v>6.425921943151941E-2</v>
      </c>
      <c r="I11" s="88">
        <f t="shared" si="6"/>
        <v>6.425921943151941E-2</v>
      </c>
      <c r="J11" s="88">
        <f t="shared" si="6"/>
        <v>6.425921943151941E-2</v>
      </c>
      <c r="K11" s="88">
        <f t="shared" si="6"/>
        <v>6.425921943151941E-2</v>
      </c>
      <c r="L11" s="88">
        <f t="shared" si="6"/>
        <v>6.425921943151941E-2</v>
      </c>
      <c r="M11" s="88">
        <f t="shared" ref="M11" si="7">L11</f>
        <v>6.425921943151941E-2</v>
      </c>
    </row>
    <row r="12" spans="1:13">
      <c r="A12" t="s">
        <v>334</v>
      </c>
      <c r="B12" s="88">
        <f>'Benchmark CAPM'!D113</f>
        <v>5.1463635887600098E-2</v>
      </c>
      <c r="C12" s="88">
        <f t="shared" ref="C12:L14" si="8">B12</f>
        <v>5.1463635887600098E-2</v>
      </c>
      <c r="D12" s="88">
        <f t="shared" si="8"/>
        <v>5.1463635887600098E-2</v>
      </c>
      <c r="E12" s="88">
        <f t="shared" si="8"/>
        <v>5.1463635887600098E-2</v>
      </c>
      <c r="F12" s="88">
        <f t="shared" si="8"/>
        <v>5.1463635887600098E-2</v>
      </c>
      <c r="G12" s="88">
        <f t="shared" si="8"/>
        <v>5.1463635887600098E-2</v>
      </c>
      <c r="H12" s="88">
        <f t="shared" si="8"/>
        <v>5.1463635887600098E-2</v>
      </c>
      <c r="I12" s="88">
        <f t="shared" si="8"/>
        <v>5.1463635887600098E-2</v>
      </c>
      <c r="J12" s="88">
        <f t="shared" si="8"/>
        <v>5.1463635887600098E-2</v>
      </c>
      <c r="K12" s="88">
        <f t="shared" si="8"/>
        <v>5.1463635887600098E-2</v>
      </c>
      <c r="L12" s="88">
        <f t="shared" si="8"/>
        <v>5.1463635887600098E-2</v>
      </c>
      <c r="M12" s="88">
        <f t="shared" ref="M12" si="9">L12</f>
        <v>5.1463635887600098E-2</v>
      </c>
    </row>
    <row r="13" spans="1:13">
      <c r="A13" t="s">
        <v>335</v>
      </c>
      <c r="B13" s="23">
        <f>AVERAGE('Benchmark CAPM'!V2:W385)/10000</f>
        <v>2.7053906249999999E-2</v>
      </c>
      <c r="C13" s="88">
        <f t="shared" si="8"/>
        <v>2.7053906249999999E-2</v>
      </c>
      <c r="D13" s="88">
        <f t="shared" si="8"/>
        <v>2.7053906249999999E-2</v>
      </c>
      <c r="E13" s="88">
        <f t="shared" si="8"/>
        <v>2.7053906249999999E-2</v>
      </c>
      <c r="F13" s="88">
        <f t="shared" si="8"/>
        <v>2.7053906249999999E-2</v>
      </c>
      <c r="G13" s="88">
        <f t="shared" si="8"/>
        <v>2.7053906249999999E-2</v>
      </c>
      <c r="H13" s="88">
        <f t="shared" si="8"/>
        <v>2.7053906249999999E-2</v>
      </c>
      <c r="I13" s="88">
        <f t="shared" si="8"/>
        <v>2.7053906249999999E-2</v>
      </c>
      <c r="J13" s="88">
        <f t="shared" si="8"/>
        <v>2.7053906249999999E-2</v>
      </c>
      <c r="K13" s="88">
        <f t="shared" si="8"/>
        <v>2.7053906249999999E-2</v>
      </c>
      <c r="L13" s="88">
        <f t="shared" si="8"/>
        <v>2.7053906249999999E-2</v>
      </c>
      <c r="M13" s="88">
        <f t="shared" ref="M13" si="10">L13</f>
        <v>2.7053906249999999E-2</v>
      </c>
    </row>
    <row r="14" spans="1:13">
      <c r="A14" t="s">
        <v>339</v>
      </c>
      <c r="B14" s="88">
        <v>0</v>
      </c>
      <c r="C14" s="88">
        <f t="shared" si="8"/>
        <v>0</v>
      </c>
      <c r="D14" s="88">
        <f t="shared" si="8"/>
        <v>0</v>
      </c>
      <c r="E14" s="88">
        <f t="shared" si="8"/>
        <v>0</v>
      </c>
      <c r="F14" s="88">
        <f t="shared" si="8"/>
        <v>0</v>
      </c>
      <c r="G14" s="88">
        <f t="shared" si="8"/>
        <v>0</v>
      </c>
      <c r="H14" s="88">
        <f t="shared" si="8"/>
        <v>0</v>
      </c>
      <c r="I14" s="88">
        <f t="shared" si="8"/>
        <v>0</v>
      </c>
      <c r="J14" s="88">
        <f t="shared" si="8"/>
        <v>0</v>
      </c>
      <c r="K14" s="88">
        <f t="shared" si="8"/>
        <v>0</v>
      </c>
      <c r="L14" s="88">
        <f t="shared" si="8"/>
        <v>0</v>
      </c>
      <c r="M14" s="88">
        <f t="shared" ref="M14" si="11">L14</f>
        <v>0</v>
      </c>
    </row>
    <row r="17" spans="1:13">
      <c r="B17" s="28">
        <f ca="1">YEAR(TODAY())</f>
        <v>2020</v>
      </c>
      <c r="C17" s="28">
        <f ca="1">B17+1</f>
        <v>2021</v>
      </c>
      <c r="D17" s="28">
        <f t="shared" ref="D17:L17" ca="1" si="12">C17+1</f>
        <v>2022</v>
      </c>
      <c r="E17" s="28">
        <f t="shared" ca="1" si="12"/>
        <v>2023</v>
      </c>
      <c r="F17" s="28">
        <f t="shared" ca="1" si="12"/>
        <v>2024</v>
      </c>
      <c r="G17" s="28">
        <f t="shared" ca="1" si="12"/>
        <v>2025</v>
      </c>
      <c r="H17" s="28">
        <f t="shared" ca="1" si="12"/>
        <v>2026</v>
      </c>
      <c r="I17" s="28">
        <f t="shared" ca="1" si="12"/>
        <v>2027</v>
      </c>
      <c r="J17" s="28">
        <f t="shared" ca="1" si="12"/>
        <v>2028</v>
      </c>
      <c r="K17" s="28">
        <f t="shared" ca="1" si="12"/>
        <v>2029</v>
      </c>
      <c r="L17" s="28">
        <f t="shared" ca="1" si="12"/>
        <v>2030</v>
      </c>
      <c r="M17" s="28">
        <f t="shared" ref="M17" ca="1" si="13">L17+1</f>
        <v>2031</v>
      </c>
    </row>
    <row r="18" spans="1:13">
      <c r="A18" s="1" t="s">
        <v>275</v>
      </c>
      <c r="B18" s="84" t="s">
        <v>256</v>
      </c>
      <c r="C18" s="89" t="s">
        <v>257</v>
      </c>
      <c r="D18" s="89" t="s">
        <v>258</v>
      </c>
      <c r="E18" s="89" t="s">
        <v>259</v>
      </c>
      <c r="F18" s="89" t="s">
        <v>260</v>
      </c>
      <c r="G18" s="89" t="s">
        <v>261</v>
      </c>
      <c r="H18" s="89" t="s">
        <v>262</v>
      </c>
      <c r="I18" s="89" t="s">
        <v>263</v>
      </c>
      <c r="J18" s="89" t="s">
        <v>264</v>
      </c>
      <c r="K18" s="89" t="s">
        <v>265</v>
      </c>
      <c r="L18" s="90" t="s">
        <v>266</v>
      </c>
      <c r="M18" s="90" t="str">
        <f>M10</f>
        <v>Perpetuidade</v>
      </c>
    </row>
    <row r="19" spans="1:13">
      <c r="A19" t="s">
        <v>276</v>
      </c>
      <c r="B19" s="88">
        <f>'Análise de Indicadores'!B32/'Análise de Indicadores'!C32-1</f>
        <v>-0.10020145765909849</v>
      </c>
      <c r="C19" s="88">
        <v>0.03</v>
      </c>
      <c r="D19" s="88">
        <v>0.03</v>
      </c>
      <c r="E19" s="88">
        <v>0.03</v>
      </c>
      <c r="F19" s="88">
        <v>0.03</v>
      </c>
      <c r="G19" s="88">
        <v>0.03</v>
      </c>
      <c r="H19" s="88">
        <v>0.03</v>
      </c>
      <c r="I19" s="88">
        <v>0.03</v>
      </c>
      <c r="J19" s="88">
        <v>0.03</v>
      </c>
      <c r="K19" s="88">
        <v>0.03</v>
      </c>
      <c r="L19" s="88">
        <v>0.03</v>
      </c>
      <c r="M19" s="88">
        <v>0.01</v>
      </c>
    </row>
    <row r="20" spans="1:13">
      <c r="A20" t="s">
        <v>277</v>
      </c>
      <c r="B20" s="88">
        <f>'Análise de Indicadores'!B33/'Análise de Indicadores'!C33-1</f>
        <v>-0.27961587723166692</v>
      </c>
      <c r="C20" s="88">
        <v>0.01</v>
      </c>
      <c r="D20" s="88">
        <v>0.01</v>
      </c>
      <c r="E20" s="88">
        <v>0.01</v>
      </c>
      <c r="F20" s="88">
        <v>0.01</v>
      </c>
      <c r="G20" s="88">
        <v>0.01</v>
      </c>
      <c r="H20" s="88">
        <v>0.01</v>
      </c>
      <c r="I20" s="88">
        <v>0.01</v>
      </c>
      <c r="J20" s="88">
        <v>0.01</v>
      </c>
      <c r="K20" s="88">
        <v>0.01</v>
      </c>
      <c r="L20" s="88">
        <v>0.01</v>
      </c>
      <c r="M20" s="88">
        <v>0.01</v>
      </c>
    </row>
    <row r="21" spans="1:13">
      <c r="A21" t="s">
        <v>278</v>
      </c>
      <c r="B21" s="88">
        <f>'Análise de Indicadores'!B35/'Análise de Indicadores'!C35-1</f>
        <v>-0.81059470023970304</v>
      </c>
      <c r="C21" s="88">
        <v>0.01</v>
      </c>
      <c r="D21" s="88">
        <v>0.01</v>
      </c>
      <c r="E21" s="88">
        <v>0.01</v>
      </c>
      <c r="F21" s="88">
        <v>0.01</v>
      </c>
      <c r="G21" s="88">
        <v>0.01</v>
      </c>
      <c r="H21" s="88">
        <v>0.01</v>
      </c>
      <c r="I21" s="88">
        <v>0.01</v>
      </c>
      <c r="J21" s="88">
        <v>0.01</v>
      </c>
      <c r="K21" s="88">
        <v>0.01</v>
      </c>
      <c r="L21" s="88">
        <v>0.01</v>
      </c>
      <c r="M21" s="88">
        <v>0.01</v>
      </c>
    </row>
    <row r="22" spans="1:13">
      <c r="A22" t="s">
        <v>279</v>
      </c>
      <c r="B22" s="23">
        <f>'Análise de Indicadores'!I20/'Análise de Indicadores'!I22</f>
        <v>0.41558222106249715</v>
      </c>
      <c r="C22" s="88">
        <v>0.3</v>
      </c>
      <c r="D22" s="88">
        <v>0.3</v>
      </c>
      <c r="E22" s="88">
        <v>0.3</v>
      </c>
      <c r="F22" s="88">
        <v>0.3</v>
      </c>
      <c r="G22" s="88">
        <v>0.3</v>
      </c>
      <c r="H22" s="88">
        <v>0.3</v>
      </c>
      <c r="I22" s="88">
        <v>0.3</v>
      </c>
      <c r="J22" s="88">
        <v>0.3</v>
      </c>
      <c r="K22" s="88">
        <v>0.3</v>
      </c>
      <c r="L22" s="88">
        <v>0.3</v>
      </c>
      <c r="M22" s="88">
        <v>0.3</v>
      </c>
    </row>
    <row r="23" spans="1:13">
      <c r="A23" t="s">
        <v>280</v>
      </c>
      <c r="B23" s="23">
        <f>1-B22</f>
        <v>0.58441777893750291</v>
      </c>
      <c r="C23" s="88">
        <v>0.7</v>
      </c>
      <c r="D23" s="88">
        <v>0.7</v>
      </c>
      <c r="E23" s="88">
        <v>0.7</v>
      </c>
      <c r="F23" s="88">
        <v>0.7</v>
      </c>
      <c r="G23" s="88">
        <v>0.7</v>
      </c>
      <c r="H23" s="88">
        <v>0.7</v>
      </c>
      <c r="I23" s="88">
        <v>0.7</v>
      </c>
      <c r="J23" s="88">
        <v>0.7</v>
      </c>
      <c r="K23" s="88">
        <v>0.7</v>
      </c>
      <c r="L23" s="88">
        <v>0.7</v>
      </c>
      <c r="M23" s="88">
        <v>0.7</v>
      </c>
    </row>
    <row r="24" spans="1:13">
      <c r="A24" t="s">
        <v>383</v>
      </c>
      <c r="B24" s="31">
        <f>'Análise de Indicadores'!B56/'Análise de Indicadores'!B32</f>
        <v>-2.776716706815507E-3</v>
      </c>
      <c r="C24" s="91">
        <f>B24</f>
        <v>-2.776716706815507E-3</v>
      </c>
      <c r="D24" s="91">
        <f t="shared" ref="D24:M24" si="14">C24</f>
        <v>-2.776716706815507E-3</v>
      </c>
      <c r="E24" s="91">
        <f t="shared" si="14"/>
        <v>-2.776716706815507E-3</v>
      </c>
      <c r="F24" s="91">
        <f t="shared" si="14"/>
        <v>-2.776716706815507E-3</v>
      </c>
      <c r="G24" s="91">
        <f t="shared" si="14"/>
        <v>-2.776716706815507E-3</v>
      </c>
      <c r="H24" s="91">
        <f t="shared" si="14"/>
        <v>-2.776716706815507E-3</v>
      </c>
      <c r="I24" s="91">
        <f t="shared" si="14"/>
        <v>-2.776716706815507E-3</v>
      </c>
      <c r="J24" s="91">
        <f t="shared" si="14"/>
        <v>-2.776716706815507E-3</v>
      </c>
      <c r="K24" s="91">
        <f t="shared" si="14"/>
        <v>-2.776716706815507E-3</v>
      </c>
      <c r="L24" s="91">
        <f t="shared" si="14"/>
        <v>-2.776716706815507E-3</v>
      </c>
      <c r="M24" s="91">
        <f t="shared" si="14"/>
        <v>-2.776716706815507E-3</v>
      </c>
    </row>
    <row r="25" spans="1:13">
      <c r="A25" t="s">
        <v>384</v>
      </c>
      <c r="B25" s="31">
        <f>('Análise de Indicadores'!L39-'Análise de Indicadores'!M39)/'Análise de Indicadores'!B32</f>
        <v>0.11741802112216526</v>
      </c>
      <c r="C25" s="91">
        <f>B25</f>
        <v>0.11741802112216526</v>
      </c>
      <c r="D25" s="91">
        <f t="shared" ref="D25:M25" si="15">C25</f>
        <v>0.11741802112216526</v>
      </c>
      <c r="E25" s="91">
        <f t="shared" si="15"/>
        <v>0.11741802112216526</v>
      </c>
      <c r="F25" s="91">
        <f t="shared" si="15"/>
        <v>0.11741802112216526</v>
      </c>
      <c r="G25" s="91">
        <f t="shared" si="15"/>
        <v>0.11741802112216526</v>
      </c>
      <c r="H25" s="91">
        <f t="shared" si="15"/>
        <v>0.11741802112216526</v>
      </c>
      <c r="I25" s="91">
        <f t="shared" si="15"/>
        <v>0.11741802112216526</v>
      </c>
      <c r="J25" s="91">
        <f t="shared" si="15"/>
        <v>0.11741802112216526</v>
      </c>
      <c r="K25" s="91">
        <f t="shared" si="15"/>
        <v>0.11741802112216526</v>
      </c>
      <c r="L25" s="91">
        <f t="shared" si="15"/>
        <v>0.11741802112216526</v>
      </c>
      <c r="M25" s="91">
        <f t="shared" si="15"/>
        <v>0.11741802112216526</v>
      </c>
    </row>
    <row r="26" spans="1:13">
      <c r="A26" t="s">
        <v>388</v>
      </c>
      <c r="B26" s="24">
        <f>'Análise de Indicadores'!B7/10</f>
        <v>894150.9</v>
      </c>
      <c r="C26" s="26">
        <f>'Análise de Indicadores'!B7/10</f>
        <v>894150.9</v>
      </c>
      <c r="D26" s="190">
        <f>C26</f>
        <v>894150.9</v>
      </c>
      <c r="E26" s="190">
        <f t="shared" ref="E26:L26" si="16">D26</f>
        <v>894150.9</v>
      </c>
      <c r="F26" s="190">
        <f t="shared" si="16"/>
        <v>894150.9</v>
      </c>
      <c r="G26" s="190">
        <f t="shared" si="16"/>
        <v>894150.9</v>
      </c>
      <c r="H26" s="190">
        <f t="shared" si="16"/>
        <v>894150.9</v>
      </c>
      <c r="I26" s="190">
        <f t="shared" si="16"/>
        <v>894150.9</v>
      </c>
      <c r="J26" s="190">
        <f t="shared" si="16"/>
        <v>894150.9</v>
      </c>
      <c r="K26" s="190">
        <f t="shared" si="16"/>
        <v>894150.9</v>
      </c>
      <c r="L26" s="190">
        <f t="shared" si="16"/>
        <v>894150.9</v>
      </c>
      <c r="M26" s="8">
        <f>L26</f>
        <v>894150.9</v>
      </c>
    </row>
    <row r="27" spans="1:13">
      <c r="B27" s="31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3">
      <c r="B28" s="31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33" spans="1:1">
      <c r="A33" t="s">
        <v>269</v>
      </c>
    </row>
    <row r="34" spans="1:1">
      <c r="A34" t="s">
        <v>273</v>
      </c>
    </row>
    <row r="35" spans="1:1">
      <c r="A35" t="s">
        <v>270</v>
      </c>
    </row>
    <row r="36" spans="1:1">
      <c r="A36" t="s">
        <v>338</v>
      </c>
    </row>
  </sheetData>
  <phoneticPr fontId="6" type="noConversion"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10"/>
  <sheetViews>
    <sheetView workbookViewId="0">
      <selection activeCell="C6" sqref="C6"/>
    </sheetView>
  </sheetViews>
  <sheetFormatPr defaultColWidth="11" defaultRowHeight="15.75"/>
  <cols>
    <col min="1" max="1" width="24.125" bestFit="1" customWidth="1"/>
    <col min="2" max="2" width="14" bestFit="1" customWidth="1"/>
    <col min="3" max="13" width="13" bestFit="1" customWidth="1"/>
  </cols>
  <sheetData>
    <row r="2" spans="1:13">
      <c r="B2" s="28">
        <f ca="1">YEAR(TODAY())</f>
        <v>2020</v>
      </c>
      <c r="C2" s="28">
        <f ca="1">B2+1</f>
        <v>2021</v>
      </c>
      <c r="D2" s="28">
        <f t="shared" ref="D2:M2" ca="1" si="0">C2+1</f>
        <v>2022</v>
      </c>
      <c r="E2" s="28">
        <f t="shared" ca="1" si="0"/>
        <v>2023</v>
      </c>
      <c r="F2" s="28">
        <f t="shared" ca="1" si="0"/>
        <v>2024</v>
      </c>
      <c r="G2" s="28">
        <f t="shared" ca="1" si="0"/>
        <v>2025</v>
      </c>
      <c r="H2" s="28">
        <f t="shared" ca="1" si="0"/>
        <v>2026</v>
      </c>
      <c r="I2" s="28">
        <f t="shared" ca="1" si="0"/>
        <v>2027</v>
      </c>
      <c r="J2" s="28">
        <f t="shared" ca="1" si="0"/>
        <v>2028</v>
      </c>
      <c r="K2" s="28">
        <f t="shared" ca="1" si="0"/>
        <v>2029</v>
      </c>
      <c r="L2" s="28">
        <f t="shared" ca="1" si="0"/>
        <v>2030</v>
      </c>
      <c r="M2" s="28">
        <f t="shared" ca="1" si="0"/>
        <v>2031</v>
      </c>
    </row>
    <row r="3" spans="1:13">
      <c r="B3" s="84"/>
      <c r="C3" s="89" t="s">
        <v>257</v>
      </c>
      <c r="D3" s="89" t="s">
        <v>258</v>
      </c>
      <c r="E3" s="89" t="s">
        <v>259</v>
      </c>
      <c r="F3" s="89" t="s">
        <v>260</v>
      </c>
      <c r="G3" s="89" t="s">
        <v>261</v>
      </c>
      <c r="H3" s="89" t="s">
        <v>262</v>
      </c>
      <c r="I3" s="89" t="s">
        <v>263</v>
      </c>
      <c r="J3" s="89" t="s">
        <v>264</v>
      </c>
      <c r="K3" s="89" t="s">
        <v>265</v>
      </c>
      <c r="L3" s="90" t="s">
        <v>266</v>
      </c>
      <c r="M3" s="180" t="s">
        <v>380</v>
      </c>
    </row>
    <row r="4" spans="1:13">
      <c r="A4" t="s">
        <v>389</v>
      </c>
      <c r="C4" s="181">
        <f>Projeções!B21</f>
        <v>3378522.96</v>
      </c>
      <c r="D4" s="181">
        <f>Projeções!D21</f>
        <v>3541460.0655420003</v>
      </c>
      <c r="E4" s="181">
        <f>Projeções!E21</f>
        <v>3626699.334583981</v>
      </c>
      <c r="F4" s="181">
        <f>Projeções!F21</f>
        <v>3714553.9816379771</v>
      </c>
      <c r="G4" s="181">
        <f>Projeções!G21</f>
        <v>3805103.050043758</v>
      </c>
      <c r="H4" s="181">
        <f>Projeções!H21</f>
        <v>3898427.9602612797</v>
      </c>
      <c r="I4" s="181">
        <f>Projeções!I21</f>
        <v>3994612.5812424887</v>
      </c>
      <c r="J4" s="181">
        <f>Projeções!J21</f>
        <v>4093743.3039448657</v>
      </c>
      <c r="K4" s="181">
        <f>Projeções!K21</f>
        <v>4195909.1170509672</v>
      </c>
      <c r="L4" s="181">
        <f>Projeções!L21</f>
        <v>4301201.6849601287</v>
      </c>
      <c r="M4" s="181">
        <f>Projeções!M21</f>
        <v>3411392.4917039312</v>
      </c>
    </row>
    <row r="6" spans="1:13">
      <c r="A6" t="s">
        <v>390</v>
      </c>
      <c r="C6" s="7">
        <f>'Custo de Capital'!C28</f>
        <v>0.12292654994257701</v>
      </c>
      <c r="D6" s="7">
        <f>(1+'Valor da Empresa'!C6)*(1+'Custo de Capital'!D28)-1</f>
        <v>0.26600597677518101</v>
      </c>
      <c r="E6" s="7">
        <f>(1+'Valor da Empresa'!D6)*(1+'Custo de Capital'!E28)-1</f>
        <v>0.42731609054255681</v>
      </c>
      <c r="F6" s="7">
        <f>(1+'Valor da Empresa'!E6)*(1+'Custo de Capital'!F28)-1</f>
        <v>0.60917978247701621</v>
      </c>
      <c r="G6" s="7">
        <f>(1+'Valor da Empresa'!F6)*(1+'Custo de Capital'!G28)-1</f>
        <v>0.81421591859758413</v>
      </c>
      <c r="H6" s="7">
        <f>(1+'Valor da Empresa'!G6)*(1+'Custo de Capital'!H28)-1</f>
        <v>1.0453770517961916</v>
      </c>
      <c r="I6" s="7">
        <f>(1+'Valor da Empresa'!H6)*(1+'Custo de Capital'!I28)-1</f>
        <v>1.3059919390677819</v>
      </c>
      <c r="J6" s="7">
        <f>(1+'Valor da Empresa'!I6)*(1+'Custo de Capital'!J28)-1</f>
        <v>1.5998134761391918</v>
      </c>
      <c r="K6" s="7">
        <f>(1+'Valor da Empresa'!J6)*(1+'Custo de Capital'!K28)-1</f>
        <v>1.9310727397630658</v>
      </c>
      <c r="L6" s="7">
        <f>(1+'Valor da Empresa'!K6)*(1+'Custo de Capital'!L28)-1</f>
        <v>2.3045399158944124</v>
      </c>
      <c r="M6" s="7">
        <f>'Custo de Capital'!M28</f>
        <v>0.12741654994257701</v>
      </c>
    </row>
    <row r="8" spans="1:13">
      <c r="A8" t="s">
        <v>391</v>
      </c>
      <c r="C8" s="181">
        <f>C4/(1+C6)</f>
        <v>3008676.7119120727</v>
      </c>
      <c r="D8" s="181">
        <f t="shared" ref="D8:L8" si="1">D4/(1+D6)</f>
        <v>2797348.6148643177</v>
      </c>
      <c r="E8" s="181">
        <f t="shared" si="1"/>
        <v>2540922.335714289</v>
      </c>
      <c r="F8" s="181">
        <f t="shared" si="1"/>
        <v>2308352.3805650547</v>
      </c>
      <c r="G8" s="181">
        <f t="shared" si="1"/>
        <v>2097381.5801292048</v>
      </c>
      <c r="H8" s="181">
        <f t="shared" si="1"/>
        <v>1905970.323094117</v>
      </c>
      <c r="I8" s="181">
        <f t="shared" si="1"/>
        <v>1732275.1712902114</v>
      </c>
      <c r="J8" s="181">
        <f t="shared" si="1"/>
        <v>1574629.6192079936</v>
      </c>
      <c r="K8" s="181">
        <f t="shared" si="1"/>
        <v>1431526.7786189928</v>
      </c>
      <c r="L8" s="181">
        <f t="shared" si="1"/>
        <v>1301603.7918839778</v>
      </c>
      <c r="M8" s="181">
        <f>(M4/M6)/(1+L6)</f>
        <v>8102048.6308857417</v>
      </c>
    </row>
    <row r="10" spans="1:13">
      <c r="A10" t="s">
        <v>393</v>
      </c>
      <c r="B10" s="181">
        <f>SUM(C8:M8)</f>
        <v>28800735.938165974</v>
      </c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1"/>
  <sheetViews>
    <sheetView workbookViewId="0">
      <selection activeCell="D5" sqref="D5"/>
    </sheetView>
  </sheetViews>
  <sheetFormatPr defaultColWidth="11" defaultRowHeight="15.75"/>
  <cols>
    <col min="1" max="1" width="38.375" bestFit="1" customWidth="1"/>
    <col min="2" max="3" width="13" bestFit="1" customWidth="1"/>
    <col min="4" max="13" width="14" bestFit="1" customWidth="1"/>
  </cols>
  <sheetData>
    <row r="2" spans="1:13">
      <c r="B2" s="28">
        <f ca="1">YEAR(TODAY())</f>
        <v>2020</v>
      </c>
      <c r="C2" s="28">
        <f ca="1">B2+1</f>
        <v>2021</v>
      </c>
      <c r="D2" s="28">
        <f t="shared" ref="D2:M2" ca="1" si="0">C2+1</f>
        <v>2022</v>
      </c>
      <c r="E2" s="28">
        <f t="shared" ca="1" si="0"/>
        <v>2023</v>
      </c>
      <c r="F2" s="28">
        <f t="shared" ca="1" si="0"/>
        <v>2024</v>
      </c>
      <c r="G2" s="28">
        <f t="shared" ca="1" si="0"/>
        <v>2025</v>
      </c>
      <c r="H2" s="28">
        <f t="shared" ca="1" si="0"/>
        <v>2026</v>
      </c>
      <c r="I2" s="28">
        <f t="shared" ca="1" si="0"/>
        <v>2027</v>
      </c>
      <c r="J2" s="28">
        <f t="shared" ca="1" si="0"/>
        <v>2028</v>
      </c>
      <c r="K2" s="28">
        <f t="shared" ca="1" si="0"/>
        <v>2029</v>
      </c>
      <c r="L2" s="28">
        <f t="shared" ca="1" si="0"/>
        <v>2030</v>
      </c>
      <c r="M2" s="28">
        <f t="shared" ca="1" si="0"/>
        <v>2031</v>
      </c>
    </row>
    <row r="3" spans="1:13">
      <c r="A3" s="10" t="s">
        <v>68</v>
      </c>
      <c r="B3" s="9" t="s">
        <v>256</v>
      </c>
      <c r="C3" s="64" t="s">
        <v>257</v>
      </c>
      <c r="D3" s="64" t="s">
        <v>258</v>
      </c>
      <c r="E3" s="64" t="s">
        <v>259</v>
      </c>
      <c r="F3" s="64" t="s">
        <v>260</v>
      </c>
      <c r="G3" s="64" t="s">
        <v>261</v>
      </c>
      <c r="H3" s="64" t="s">
        <v>262</v>
      </c>
      <c r="I3" s="64" t="s">
        <v>263</v>
      </c>
      <c r="J3" s="64" t="s">
        <v>264</v>
      </c>
      <c r="K3" s="64" t="s">
        <v>265</v>
      </c>
      <c r="L3" s="64" t="s">
        <v>266</v>
      </c>
      <c r="M3" s="183" t="s">
        <v>380</v>
      </c>
    </row>
    <row r="4" spans="1:13">
      <c r="A4" s="11" t="s">
        <v>21</v>
      </c>
      <c r="B4" s="184">
        <f>'Análise de Indicadores'!B32</f>
        <v>7887733</v>
      </c>
      <c r="C4" s="185">
        <f>B4*(1+'Premissas do Valuation'!C19)</f>
        <v>8124364.9900000002</v>
      </c>
      <c r="D4" s="185">
        <f>C4*(1+'Premissas do Valuation'!D19)</f>
        <v>8368095.9397</v>
      </c>
      <c r="E4" s="185">
        <f>D4*(1+'Premissas do Valuation'!E19)</f>
        <v>8619138.8178909998</v>
      </c>
      <c r="F4" s="185">
        <f>E4*(1+'Premissas do Valuation'!F19)</f>
        <v>8877712.9824277293</v>
      </c>
      <c r="G4" s="185">
        <f>F4*(1+'Premissas do Valuation'!G19)</f>
        <v>9144044.3719005622</v>
      </c>
      <c r="H4" s="185">
        <f>G4*(1+'Premissas do Valuation'!H19)</f>
        <v>9418365.7030575797</v>
      </c>
      <c r="I4" s="185">
        <f>H4*(1+'Premissas do Valuation'!I19)</f>
        <v>9700916.6741493065</v>
      </c>
      <c r="J4" s="185">
        <f>I4*(1+'Premissas do Valuation'!J19)</f>
        <v>9991944.174373785</v>
      </c>
      <c r="K4" s="185">
        <f>J4*(1+'Premissas do Valuation'!K19)</f>
        <v>10291702.499604998</v>
      </c>
      <c r="L4" s="185">
        <f>K4*(1+'Premissas do Valuation'!L19)</f>
        <v>10600453.574593149</v>
      </c>
      <c r="M4" s="185">
        <f>L4*(1+'Premissas do Valuation'!M19)</f>
        <v>10706458.110339081</v>
      </c>
    </row>
    <row r="5" spans="1:13">
      <c r="A5" s="9" t="s">
        <v>70</v>
      </c>
      <c r="B5" s="186">
        <f>'Análise de Indicadores'!B33</f>
        <v>2321221</v>
      </c>
      <c r="C5" s="187">
        <f>B5*('Premissas do Valuation'!C19+1)</f>
        <v>2390857.63</v>
      </c>
      <c r="D5" s="187">
        <f>C5*('Premissas do Valuation'!D19+1)</f>
        <v>2462583.3588999999</v>
      </c>
      <c r="E5" s="187">
        <f>D5*('Premissas do Valuation'!E19+1)</f>
        <v>2536460.8596669999</v>
      </c>
      <c r="F5" s="187">
        <f>E5*('Premissas do Valuation'!F19+1)</f>
        <v>2612554.6854570098</v>
      </c>
      <c r="G5" s="187">
        <f>F5*('Premissas do Valuation'!G19+1)</f>
        <v>2690931.3260207204</v>
      </c>
      <c r="H5" s="187">
        <f>G5*('Premissas do Valuation'!H19+1)</f>
        <v>2771659.2658013422</v>
      </c>
      <c r="I5" s="187">
        <f>H5*('Premissas do Valuation'!I19+1)</f>
        <v>2854809.0437753825</v>
      </c>
      <c r="J5" s="187">
        <f>I5*('Premissas do Valuation'!J19+1)</f>
        <v>2940453.3150886442</v>
      </c>
      <c r="K5" s="187">
        <f>J5*('Premissas do Valuation'!K19+1)</f>
        <v>3028666.9145413036</v>
      </c>
      <c r="L5" s="187">
        <f>K5*('Premissas do Valuation'!L19+1)</f>
        <v>3119526.9219775428</v>
      </c>
      <c r="M5" s="187">
        <f>L5*('Premissas do Valuation'!M19+1)</f>
        <v>3150722.1911973185</v>
      </c>
    </row>
    <row r="6" spans="1:13">
      <c r="A6" s="11" t="s">
        <v>22</v>
      </c>
      <c r="B6" s="184">
        <f>'Análise de Indicadores'!B34</f>
        <v>5566512</v>
      </c>
      <c r="C6" s="185">
        <f>C4-C5</f>
        <v>5733507.3600000003</v>
      </c>
      <c r="D6" s="185">
        <f t="shared" ref="D6:M6" si="1">D4-D5</f>
        <v>5905512.5808000006</v>
      </c>
      <c r="E6" s="185">
        <f t="shared" si="1"/>
        <v>6082677.9582240004</v>
      </c>
      <c r="F6" s="185">
        <f t="shared" si="1"/>
        <v>6265158.2969707195</v>
      </c>
      <c r="G6" s="185">
        <f t="shared" si="1"/>
        <v>6453113.0458798418</v>
      </c>
      <c r="H6" s="185">
        <f t="shared" si="1"/>
        <v>6646706.4372562375</v>
      </c>
      <c r="I6" s="185">
        <f t="shared" si="1"/>
        <v>6846107.630373924</v>
      </c>
      <c r="J6" s="185">
        <f t="shared" si="1"/>
        <v>7051490.8592851404</v>
      </c>
      <c r="K6" s="185">
        <f t="shared" si="1"/>
        <v>7263035.585063694</v>
      </c>
      <c r="L6" s="185">
        <f t="shared" si="1"/>
        <v>7480926.6526156068</v>
      </c>
      <c r="M6" s="185">
        <f t="shared" si="1"/>
        <v>7555735.919141762</v>
      </c>
    </row>
    <row r="7" spans="1:13">
      <c r="A7" s="9" t="s">
        <v>23</v>
      </c>
      <c r="B7" s="186">
        <f>'Análise de Indicadores'!B35</f>
        <v>432221</v>
      </c>
      <c r="C7" s="187">
        <f>B7*(1+'Premissas do Valuation'!C21)</f>
        <v>436543.21</v>
      </c>
      <c r="D7" s="187">
        <f>C7*(1+'Premissas do Valuation'!D21)</f>
        <v>440908.6421</v>
      </c>
      <c r="E7" s="187">
        <f>D7*(1+'Premissas do Valuation'!E21)</f>
        <v>445317.72852100001</v>
      </c>
      <c r="F7" s="187">
        <f>E7*(1+'Premissas do Valuation'!F21)</f>
        <v>449770.90580621001</v>
      </c>
      <c r="G7" s="187">
        <f>F7*(1+'Premissas do Valuation'!G21)</f>
        <v>454268.61486427212</v>
      </c>
      <c r="H7" s="187">
        <f>G7*(1+'Premissas do Valuation'!H21)</f>
        <v>458811.30101291486</v>
      </c>
      <c r="I7" s="187">
        <f>H7*(1+'Premissas do Valuation'!I21)</f>
        <v>463399.414023044</v>
      </c>
      <c r="J7" s="187">
        <f>I7*(1+'Premissas do Valuation'!J21)</f>
        <v>468033.40816327446</v>
      </c>
      <c r="K7" s="187">
        <f>J7*(1+'Premissas do Valuation'!K21)</f>
        <v>472713.74224490719</v>
      </c>
      <c r="L7" s="187">
        <f>K7*(1+'Premissas do Valuation'!L21)</f>
        <v>477440.87966735626</v>
      </c>
      <c r="M7" s="187">
        <f>L7*(1+'Premissas do Valuation'!M21)</f>
        <v>482215.28846402984</v>
      </c>
    </row>
    <row r="8" spans="1:13">
      <c r="A8" s="11" t="s">
        <v>24</v>
      </c>
      <c r="B8" s="184">
        <f>'Análise de Indicadores'!B36</f>
        <v>5134291</v>
      </c>
      <c r="C8" s="185">
        <f>C6-C7</f>
        <v>5296964.1500000004</v>
      </c>
      <c r="D8" s="185">
        <f t="shared" ref="D8:M8" si="2">D6-D7</f>
        <v>5464603.9387000008</v>
      </c>
      <c r="E8" s="185">
        <f t="shared" si="2"/>
        <v>5637360.2297030007</v>
      </c>
      <c r="F8" s="185">
        <f t="shared" si="2"/>
        <v>5815387.3911645096</v>
      </c>
      <c r="G8" s="185">
        <f t="shared" si="2"/>
        <v>5998844.4310155697</v>
      </c>
      <c r="H8" s="185">
        <f t="shared" si="2"/>
        <v>6187895.1362433229</v>
      </c>
      <c r="I8" s="185">
        <f t="shared" si="2"/>
        <v>6382708.2163508805</v>
      </c>
      <c r="J8" s="185">
        <f t="shared" si="2"/>
        <v>6583457.4511218658</v>
      </c>
      <c r="K8" s="185">
        <f t="shared" si="2"/>
        <v>6790321.8428187873</v>
      </c>
      <c r="L8" s="185">
        <f t="shared" si="2"/>
        <v>7003485.7729482502</v>
      </c>
      <c r="M8" s="185">
        <f t="shared" si="2"/>
        <v>7073520.6306777317</v>
      </c>
    </row>
    <row r="9" spans="1:13">
      <c r="A9" s="188" t="s">
        <v>382</v>
      </c>
      <c r="B9" s="187">
        <f>B8*'Análise de Indicadores'!D33</f>
        <v>1745658.9400000002</v>
      </c>
      <c r="C9" s="187">
        <f>C8*'Premissas do Valuation'!C7</f>
        <v>1800967.8110000002</v>
      </c>
      <c r="D9" s="187">
        <f>D8*'Premissas do Valuation'!D7</f>
        <v>1857965.3391580004</v>
      </c>
      <c r="E9" s="187">
        <f>E8*'Premissas do Valuation'!E7</f>
        <v>1916702.4780990204</v>
      </c>
      <c r="F9" s="187">
        <f>F8*'Premissas do Valuation'!F7</f>
        <v>1977231.7129959334</v>
      </c>
      <c r="G9" s="187">
        <f>G8*'Premissas do Valuation'!G7</f>
        <v>2039607.1065452939</v>
      </c>
      <c r="H9" s="187">
        <f>H8*'Premissas do Valuation'!H7</f>
        <v>2103884.3463227297</v>
      </c>
      <c r="I9" s="187">
        <f>I8*'Premissas do Valuation'!I7</f>
        <v>2170120.7935592993</v>
      </c>
      <c r="J9" s="187">
        <f>J8*'Premissas do Valuation'!J7</f>
        <v>2238375.5333814346</v>
      </c>
      <c r="K9" s="187">
        <f>K8*'Premissas do Valuation'!K7</f>
        <v>2308709.4265583879</v>
      </c>
      <c r="L9" s="187">
        <f>L8*'Premissas do Valuation'!L7</f>
        <v>2381185.1628024052</v>
      </c>
      <c r="M9" s="187">
        <f>M8*'Premissas do Valuation'!M7</f>
        <v>2404997.0144304289</v>
      </c>
    </row>
    <row r="10" spans="1:13">
      <c r="A10" s="189" t="s">
        <v>62</v>
      </c>
      <c r="B10" s="185">
        <f>B8-B9</f>
        <v>3388632.0599999996</v>
      </c>
      <c r="C10" s="185">
        <f t="shared" ref="C10:M10" si="3">C8-C9</f>
        <v>3495996.3390000002</v>
      </c>
      <c r="D10" s="185">
        <f t="shared" si="3"/>
        <v>3606638.5995420003</v>
      </c>
      <c r="E10" s="185">
        <f t="shared" si="3"/>
        <v>3720657.7516039805</v>
      </c>
      <c r="F10" s="185">
        <f t="shared" si="3"/>
        <v>3838155.6781685762</v>
      </c>
      <c r="G10" s="185">
        <f t="shared" si="3"/>
        <v>3959237.324470276</v>
      </c>
      <c r="H10" s="185">
        <f t="shared" si="3"/>
        <v>4084010.7899205931</v>
      </c>
      <c r="I10" s="185">
        <f t="shared" si="3"/>
        <v>4212587.4227915816</v>
      </c>
      <c r="J10" s="185">
        <f t="shared" si="3"/>
        <v>4345081.9177404307</v>
      </c>
      <c r="K10" s="185">
        <f t="shared" si="3"/>
        <v>4481612.4162603989</v>
      </c>
      <c r="L10" s="185">
        <f t="shared" si="3"/>
        <v>4622300.6101458445</v>
      </c>
      <c r="M10" s="185">
        <f t="shared" si="3"/>
        <v>4668523.6162473029</v>
      </c>
    </row>
    <row r="14" spans="1:13">
      <c r="B14" s="28">
        <f ca="1">YEAR(TODAY())</f>
        <v>2020</v>
      </c>
      <c r="C14" s="28">
        <f ca="1">B14+1</f>
        <v>2021</v>
      </c>
      <c r="D14" s="28">
        <f t="shared" ref="D14:M14" ca="1" si="4">C14+1</f>
        <v>2022</v>
      </c>
      <c r="E14" s="28">
        <f t="shared" ca="1" si="4"/>
        <v>2023</v>
      </c>
      <c r="F14" s="28">
        <f t="shared" ca="1" si="4"/>
        <v>2024</v>
      </c>
      <c r="G14" s="28">
        <f t="shared" ca="1" si="4"/>
        <v>2025</v>
      </c>
      <c r="H14" s="28">
        <f t="shared" ca="1" si="4"/>
        <v>2026</v>
      </c>
      <c r="I14" s="28">
        <f t="shared" ca="1" si="4"/>
        <v>2027</v>
      </c>
      <c r="J14" s="28">
        <f t="shared" ca="1" si="4"/>
        <v>2028</v>
      </c>
      <c r="K14" s="28">
        <f t="shared" ca="1" si="4"/>
        <v>2029</v>
      </c>
      <c r="L14" s="28">
        <f t="shared" ca="1" si="4"/>
        <v>2030</v>
      </c>
      <c r="M14" s="28">
        <f t="shared" ca="1" si="4"/>
        <v>2031</v>
      </c>
    </row>
    <row r="15" spans="1:13">
      <c r="A15" s="10" t="s">
        <v>385</v>
      </c>
      <c r="B15" s="9" t="s">
        <v>256</v>
      </c>
      <c r="C15" s="64" t="s">
        <v>257</v>
      </c>
      <c r="D15" s="64" t="s">
        <v>258</v>
      </c>
      <c r="E15" s="64" t="s">
        <v>259</v>
      </c>
      <c r="F15" s="64" t="s">
        <v>260</v>
      </c>
      <c r="G15" s="64" t="s">
        <v>261</v>
      </c>
      <c r="H15" s="64" t="s">
        <v>262</v>
      </c>
      <c r="I15" s="64" t="s">
        <v>263</v>
      </c>
      <c r="J15" s="64" t="s">
        <v>264</v>
      </c>
      <c r="K15" s="64" t="s">
        <v>265</v>
      </c>
      <c r="L15" s="64" t="s">
        <v>266</v>
      </c>
      <c r="M15" s="183" t="s">
        <v>380</v>
      </c>
    </row>
    <row r="16" spans="1:13">
      <c r="A16" t="str">
        <f>A10</f>
        <v>NOPAT</v>
      </c>
      <c r="B16" s="181">
        <f>B10</f>
        <v>3388632.0599999996</v>
      </c>
      <c r="C16" s="181">
        <f t="shared" ref="C16:M16" si="5">C10</f>
        <v>3495996.3390000002</v>
      </c>
      <c r="D16" s="181">
        <f t="shared" si="5"/>
        <v>3606638.5995420003</v>
      </c>
      <c r="E16" s="181">
        <f t="shared" si="5"/>
        <v>3720657.7516039805</v>
      </c>
      <c r="F16" s="181">
        <f t="shared" si="5"/>
        <v>3838155.6781685762</v>
      </c>
      <c r="G16" s="181">
        <f t="shared" si="5"/>
        <v>3959237.324470276</v>
      </c>
      <c r="H16" s="181">
        <f t="shared" si="5"/>
        <v>4084010.7899205931</v>
      </c>
      <c r="I16" s="181">
        <f t="shared" si="5"/>
        <v>4212587.4227915816</v>
      </c>
      <c r="J16" s="181">
        <f t="shared" si="5"/>
        <v>4345081.9177404307</v>
      </c>
      <c r="K16" s="181">
        <f t="shared" si="5"/>
        <v>4481612.4162603989</v>
      </c>
      <c r="L16" s="181">
        <f t="shared" si="5"/>
        <v>4622300.6101458445</v>
      </c>
      <c r="M16" s="181">
        <f t="shared" si="5"/>
        <v>4668523.6162473029</v>
      </c>
    </row>
    <row r="17" spans="1:13">
      <c r="A17" t="s">
        <v>59</v>
      </c>
      <c r="B17" s="24">
        <f>'Premissas do Valuation'!B26</f>
        <v>894150.9</v>
      </c>
      <c r="C17" s="24">
        <f>'Premissas do Valuation'!C26</f>
        <v>894150.9</v>
      </c>
      <c r="D17" s="24">
        <f>'Premissas do Valuation'!D26</f>
        <v>894150.9</v>
      </c>
      <c r="E17" s="24">
        <f>'Premissas do Valuation'!E26</f>
        <v>894150.9</v>
      </c>
      <c r="F17" s="24">
        <f>'Premissas do Valuation'!F26</f>
        <v>894150.9</v>
      </c>
      <c r="G17" s="24">
        <f>'Premissas do Valuation'!G26</f>
        <v>894150.9</v>
      </c>
      <c r="H17" s="24">
        <f>'Premissas do Valuation'!H26</f>
        <v>894150.9</v>
      </c>
      <c r="I17" s="24">
        <f>'Premissas do Valuation'!I26</f>
        <v>894150.9</v>
      </c>
      <c r="J17" s="24">
        <f>'Premissas do Valuation'!J26</f>
        <v>894150.9</v>
      </c>
      <c r="K17" s="24">
        <f>'Premissas do Valuation'!K26</f>
        <v>894150.9</v>
      </c>
      <c r="L17" s="24">
        <f>'Premissas do Valuation'!L26</f>
        <v>894150.9</v>
      </c>
      <c r="M17" s="24">
        <f>'Premissas do Valuation'!M26</f>
        <v>894150.9</v>
      </c>
    </row>
    <row r="18" spans="1:13">
      <c r="A18" s="1" t="s">
        <v>63</v>
      </c>
      <c r="B18" s="182">
        <f>B16+B17</f>
        <v>4282782.96</v>
      </c>
      <c r="C18" s="182">
        <f t="shared" ref="C18:M18" si="6">C16+C17</f>
        <v>4390147.2390000001</v>
      </c>
      <c r="D18" s="182">
        <f t="shared" si="6"/>
        <v>4500789.4995420007</v>
      </c>
      <c r="E18" s="182">
        <f t="shared" si="6"/>
        <v>4614808.6516039809</v>
      </c>
      <c r="F18" s="182">
        <f t="shared" si="6"/>
        <v>4732306.5781685766</v>
      </c>
      <c r="G18" s="182">
        <f t="shared" si="6"/>
        <v>4853388.2244702764</v>
      </c>
      <c r="H18" s="182">
        <f t="shared" si="6"/>
        <v>4978161.6899205931</v>
      </c>
      <c r="I18" s="182">
        <f t="shared" si="6"/>
        <v>5106738.322791582</v>
      </c>
      <c r="J18" s="182">
        <f t="shared" si="6"/>
        <v>5239232.8177404311</v>
      </c>
      <c r="K18" s="182">
        <f t="shared" si="6"/>
        <v>5375763.3162603993</v>
      </c>
      <c r="L18" s="182">
        <f t="shared" si="6"/>
        <v>5516451.5101458449</v>
      </c>
      <c r="M18" s="182">
        <f t="shared" si="6"/>
        <v>5562674.5162473032</v>
      </c>
    </row>
    <row r="19" spans="1:13">
      <c r="A19" t="s">
        <v>386</v>
      </c>
      <c r="B19" s="24">
        <f>'Premissas do Valuation'!B24*Projeções!B4</f>
        <v>-21902</v>
      </c>
      <c r="C19" s="24">
        <f>'Premissas do Valuation'!C24*Projeções!C4</f>
        <v>-22559.06</v>
      </c>
      <c r="D19" s="24">
        <f>'Premissas do Valuation'!D24*Projeções!D4</f>
        <v>-23235.8318</v>
      </c>
      <c r="E19" s="24">
        <f>'Premissas do Valuation'!E24*Projeções!E4</f>
        <v>-23932.906754</v>
      </c>
      <c r="F19" s="24">
        <f>'Premissas do Valuation'!F24*Projeções!F4</f>
        <v>-24650.893956619999</v>
      </c>
      <c r="G19" s="24">
        <f>'Premissas do Valuation'!G24*Projeções!G4</f>
        <v>-25390.420775318598</v>
      </c>
      <c r="H19" s="24">
        <f>'Premissas do Valuation'!H24*Projeções!H4</f>
        <v>-26152.13339857816</v>
      </c>
      <c r="I19" s="24">
        <f>'Premissas do Valuation'!I24*Projeções!I4</f>
        <v>-26936.697400535504</v>
      </c>
      <c r="J19" s="24">
        <f>'Premissas do Valuation'!J24*Projeções!J4</f>
        <v>-27744.798322551567</v>
      </c>
      <c r="K19" s="24">
        <f>'Premissas do Valuation'!K24*Projeções!K4</f>
        <v>-28577.142272228113</v>
      </c>
      <c r="L19" s="24">
        <f>'Premissas do Valuation'!L24*Projeções!L4</f>
        <v>-29434.45654039496</v>
      </c>
      <c r="M19" s="24">
        <f>M17</f>
        <v>894150.9</v>
      </c>
    </row>
    <row r="20" spans="1:13">
      <c r="A20" t="s">
        <v>387</v>
      </c>
      <c r="B20" s="24">
        <f>'Premissas do Valuation'!B25*Projeções!B4</f>
        <v>926162</v>
      </c>
      <c r="C20" s="24">
        <f>'Premissas do Valuation'!C25*Projeções!C4</f>
        <v>953946.86</v>
      </c>
      <c r="D20" s="24">
        <f>'Premissas do Valuation'!D25*Projeções!D4</f>
        <v>982565.26579999994</v>
      </c>
      <c r="E20" s="24">
        <f>'Premissas do Valuation'!E25*Projeções!E4</f>
        <v>1012042.223774</v>
      </c>
      <c r="F20" s="24">
        <f>'Premissas do Valuation'!F25*Projeções!F4</f>
        <v>1042403.4904872199</v>
      </c>
      <c r="G20" s="24">
        <f>'Premissas do Valuation'!G25*Projeções!G4</f>
        <v>1073675.5952018367</v>
      </c>
      <c r="H20" s="24">
        <f>'Premissas do Valuation'!H25*Projeções!H4</f>
        <v>1105885.8630578918</v>
      </c>
      <c r="I20" s="24">
        <f>'Premissas do Valuation'!I25*Projeções!I4</f>
        <v>1139062.4389496285</v>
      </c>
      <c r="J20" s="24">
        <f>'Premissas do Valuation'!J25*Projeções!J4</f>
        <v>1173234.3121181172</v>
      </c>
      <c r="K20" s="24">
        <f>'Premissas do Valuation'!K25*Projeções!K4</f>
        <v>1208431.3414816607</v>
      </c>
      <c r="L20" s="24">
        <f>'Premissas do Valuation'!L25*Projeções!L4</f>
        <v>1244684.2817261107</v>
      </c>
      <c r="M20" s="24">
        <f>'Premissas do Valuation'!M25*Projeções!M4</f>
        <v>1257131.1245433718</v>
      </c>
    </row>
    <row r="21" spans="1:13">
      <c r="A21" s="1" t="s">
        <v>389</v>
      </c>
      <c r="B21" s="182">
        <f>B18-B19-B20</f>
        <v>3378522.96</v>
      </c>
      <c r="C21" s="182">
        <f t="shared" ref="C21:M21" si="7">C18-C19-C20</f>
        <v>3458759.4389999998</v>
      </c>
      <c r="D21" s="182">
        <f t="shared" si="7"/>
        <v>3541460.0655420003</v>
      </c>
      <c r="E21" s="182">
        <f t="shared" si="7"/>
        <v>3626699.334583981</v>
      </c>
      <c r="F21" s="182">
        <f t="shared" si="7"/>
        <v>3714553.9816379771</v>
      </c>
      <c r="G21" s="182">
        <f t="shared" si="7"/>
        <v>3805103.050043758</v>
      </c>
      <c r="H21" s="182">
        <f t="shared" si="7"/>
        <v>3898427.9602612797</v>
      </c>
      <c r="I21" s="182">
        <f t="shared" si="7"/>
        <v>3994612.5812424887</v>
      </c>
      <c r="J21" s="182">
        <f t="shared" si="7"/>
        <v>4093743.3039448657</v>
      </c>
      <c r="K21" s="182">
        <f t="shared" si="7"/>
        <v>4195909.1170509672</v>
      </c>
      <c r="L21" s="182">
        <f t="shared" si="7"/>
        <v>4301201.6849601287</v>
      </c>
      <c r="M21" s="182">
        <f t="shared" si="7"/>
        <v>3411392.4917039312</v>
      </c>
    </row>
  </sheetData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"/>
  <sheetViews>
    <sheetView workbookViewId="0">
      <selection activeCell="D39" sqref="D39"/>
    </sheetView>
  </sheetViews>
  <sheetFormatPr defaultColWidth="11" defaultRowHeight="15.75"/>
  <cols>
    <col min="1" max="1" width="37.125" bestFit="1" customWidth="1"/>
    <col min="2" max="2" width="16.625" bestFit="1" customWidth="1"/>
    <col min="3" max="3" width="13.375" bestFit="1" customWidth="1"/>
    <col min="4" max="4" width="13.125" style="28" bestFit="1" customWidth="1"/>
    <col min="5" max="5" width="1.375" customWidth="1"/>
    <col min="6" max="6" width="25.625" bestFit="1" customWidth="1"/>
    <col min="7" max="7" width="13.625" bestFit="1" customWidth="1"/>
    <col min="8" max="8" width="13.125" bestFit="1" customWidth="1"/>
    <col min="9" max="9" width="12.125" bestFit="1" customWidth="1"/>
    <col min="10" max="10" width="1.375" customWidth="1"/>
    <col min="11" max="11" width="30.375" bestFit="1" customWidth="1"/>
    <col min="12" max="12" width="12.625" bestFit="1" customWidth="1"/>
    <col min="13" max="13" width="13.125" bestFit="1" customWidth="1"/>
    <col min="14" max="14" width="12.625" bestFit="1" customWidth="1"/>
  </cols>
  <sheetData>
    <row r="1" spans="1:14">
      <c r="A1" s="10" t="s">
        <v>67</v>
      </c>
      <c r="B1" s="10">
        <v>2019</v>
      </c>
      <c r="C1" s="10">
        <v>2018</v>
      </c>
      <c r="D1" s="10" t="s">
        <v>20</v>
      </c>
      <c r="F1" s="9" t="s">
        <v>34</v>
      </c>
      <c r="G1" s="10">
        <f>B1</f>
        <v>2019</v>
      </c>
      <c r="H1" s="10">
        <f>C1</f>
        <v>2018</v>
      </c>
      <c r="I1" s="41" t="s">
        <v>20</v>
      </c>
      <c r="K1" s="29" t="s">
        <v>73</v>
      </c>
      <c r="L1" s="10">
        <v>2019</v>
      </c>
      <c r="M1" s="10">
        <v>2018</v>
      </c>
      <c r="N1" s="10" t="s">
        <v>20</v>
      </c>
    </row>
    <row r="2" spans="1:14">
      <c r="A2" s="11" t="s">
        <v>0</v>
      </c>
      <c r="B2" s="12">
        <f>SUM(B3:B6)</f>
        <v>5810889</v>
      </c>
      <c r="C2" s="12">
        <f>SUM(C3:C6)</f>
        <v>10588820</v>
      </c>
      <c r="D2" s="44">
        <f>AVERAGE(B2:C2)</f>
        <v>8199854.5</v>
      </c>
      <c r="F2" s="9" t="s">
        <v>35</v>
      </c>
      <c r="G2" s="14">
        <f>B2/B13</f>
        <v>0.39389453836589822</v>
      </c>
      <c r="H2" s="14">
        <f>C2/C13</f>
        <v>0.64663214890587295</v>
      </c>
      <c r="I2" s="14">
        <f>D2/D13</f>
        <v>0.52685196893214459</v>
      </c>
      <c r="K2" t="s">
        <v>74</v>
      </c>
      <c r="L2" s="26">
        <f>B3/B16</f>
        <v>1.9740259075094902E-2</v>
      </c>
      <c r="M2" s="26">
        <f>C3/C16</f>
        <v>1.9530060992639351E-2</v>
      </c>
      <c r="N2" s="26">
        <f t="shared" ref="N2" si="0">D3/D16</f>
        <v>1.9602220357119799E-2</v>
      </c>
    </row>
    <row r="3" spans="1:14">
      <c r="A3" s="9" t="s">
        <v>1</v>
      </c>
      <c r="B3" s="13">
        <v>123334</v>
      </c>
      <c r="C3" s="13">
        <v>233422</v>
      </c>
      <c r="D3" s="45">
        <f t="shared" ref="D3:D13" si="1">AVERAGE(B3:C3)</f>
        <v>178378</v>
      </c>
      <c r="F3" s="9" t="s">
        <v>36</v>
      </c>
      <c r="G3" s="14">
        <f>B8/B13</f>
        <v>0.16569658709045132</v>
      </c>
      <c r="H3" s="14">
        <f>C8/C13</f>
        <v>1.595008298454664E-2</v>
      </c>
      <c r="I3" s="14">
        <f>D8/D13</f>
        <v>8.6919588369677767E-2</v>
      </c>
      <c r="K3" t="s">
        <v>75</v>
      </c>
      <c r="L3" s="26">
        <f>B2/B16</f>
        <v>0.9300635211427436</v>
      </c>
      <c r="M3" s="26">
        <f>C2/C16</f>
        <v>0.88595034075656709</v>
      </c>
      <c r="N3" s="26">
        <f t="shared" ref="N3" si="2">D2/D16</f>
        <v>0.9010940519869064</v>
      </c>
    </row>
    <row r="4" spans="1:14">
      <c r="A4" s="9" t="s">
        <v>2</v>
      </c>
      <c r="B4" s="13">
        <v>1234322</v>
      </c>
      <c r="C4" s="13">
        <v>4345533</v>
      </c>
      <c r="D4" s="45">
        <f t="shared" si="1"/>
        <v>2789927.5</v>
      </c>
      <c r="F4" s="9" t="s">
        <v>37</v>
      </c>
      <c r="G4" s="14">
        <f>SUM(B9:B11)/B13</f>
        <v>0.44040887454365046</v>
      </c>
      <c r="H4" s="14">
        <f>SUM(C9:C11)/C13</f>
        <v>0.33741776810958041</v>
      </c>
      <c r="I4" s="14">
        <f>SUM(D9:D11)/D13</f>
        <v>0.38622844269817758</v>
      </c>
      <c r="K4" t="s">
        <v>76</v>
      </c>
      <c r="L4" s="26">
        <f>(B2-B5)/B16</f>
        <v>0.73461648591889583</v>
      </c>
      <c r="M4" s="26">
        <f>(C2-C5)/C16</f>
        <v>0.42950262275544693</v>
      </c>
      <c r="N4" s="26">
        <f t="shared" ref="N4" si="3">(D2-D5)/D16</f>
        <v>0.53424583545675697</v>
      </c>
    </row>
    <row r="5" spans="1:14">
      <c r="A5" s="9" t="s">
        <v>3</v>
      </c>
      <c r="B5" s="13">
        <v>1221122</v>
      </c>
      <c r="C5" s="13">
        <v>5455433</v>
      </c>
      <c r="D5" s="45">
        <f t="shared" si="1"/>
        <v>3338277.5</v>
      </c>
      <c r="F5" s="9" t="s">
        <v>38</v>
      </c>
      <c r="G5" s="14">
        <f>SUM(G2:G4)</f>
        <v>1</v>
      </c>
      <c r="H5" s="14">
        <f>SUM(H2:H4)</f>
        <v>1</v>
      </c>
      <c r="I5" s="14">
        <f>SUM(I2:I4)</f>
        <v>0.99999999999999989</v>
      </c>
      <c r="K5" t="s">
        <v>77</v>
      </c>
      <c r="L5" s="27">
        <f>(B2+B8)/(B16+B23)</f>
        <v>1.3086956418351485</v>
      </c>
      <c r="M5" s="27">
        <f>(C2+C8)/(C16+C23)</f>
        <v>0.87353353150587565</v>
      </c>
      <c r="N5" s="27">
        <f t="shared" ref="N5" si="4">(D2+D8)/(D16+D23)</f>
        <v>1.0200998768158529</v>
      </c>
    </row>
    <row r="6" spans="1:14">
      <c r="A6" s="9" t="s">
        <v>4</v>
      </c>
      <c r="B6" s="13">
        <v>3232111</v>
      </c>
      <c r="C6" s="13">
        <v>554432</v>
      </c>
      <c r="D6" s="45">
        <f t="shared" si="1"/>
        <v>1893271.5</v>
      </c>
      <c r="L6" s="28"/>
      <c r="M6" s="28"/>
      <c r="N6" s="28"/>
    </row>
    <row r="7" spans="1:14">
      <c r="A7" s="11" t="s">
        <v>5</v>
      </c>
      <c r="B7" s="12">
        <f>SUM(B8:B12)</f>
        <v>8941509</v>
      </c>
      <c r="C7" s="12">
        <f>SUM(C8:C12)</f>
        <v>5786518</v>
      </c>
      <c r="D7" s="44">
        <f t="shared" si="1"/>
        <v>7364013.5</v>
      </c>
      <c r="F7" s="9" t="s">
        <v>39</v>
      </c>
      <c r="G7" s="14">
        <f>B16/B27</f>
        <v>0.42351358741812689</v>
      </c>
      <c r="H7" s="14">
        <f>C16/C27</f>
        <v>0.72987403374513549</v>
      </c>
      <c r="I7" s="14">
        <f>D16/D27</f>
        <v>0.58468033139319864</v>
      </c>
      <c r="K7" s="29" t="s">
        <v>78</v>
      </c>
      <c r="L7" s="10">
        <v>2019</v>
      </c>
      <c r="M7" s="10">
        <v>2018</v>
      </c>
      <c r="N7" s="10" t="s">
        <v>20</v>
      </c>
    </row>
    <row r="8" spans="1:14">
      <c r="A8" s="9" t="s">
        <v>6</v>
      </c>
      <c r="B8" s="13">
        <v>2444422</v>
      </c>
      <c r="C8" s="13">
        <v>261188</v>
      </c>
      <c r="D8" s="45">
        <f t="shared" si="1"/>
        <v>1352805</v>
      </c>
      <c r="F8" s="9" t="s">
        <v>40</v>
      </c>
      <c r="G8" s="14">
        <f>B23/B27</f>
        <v>4.0809636507908751E-3</v>
      </c>
      <c r="H8" s="14">
        <f>C23/C27</f>
        <v>2.8634034912745007E-2</v>
      </c>
      <c r="I8" s="14">
        <f>D23/D27</f>
        <v>1.6997574124889777E-2</v>
      </c>
      <c r="K8" t="s">
        <v>79</v>
      </c>
      <c r="L8" s="26">
        <f>(B9+B10+B11)/B26</f>
        <v>0.76940021337336328</v>
      </c>
      <c r="M8" s="26">
        <f>(C9+C10+C11)/C26</f>
        <v>1.3972217052318971</v>
      </c>
      <c r="N8" s="26">
        <f t="shared" ref="N8" si="5">(D9+D10+D11)/D26</f>
        <v>0.96963851126695866</v>
      </c>
    </row>
    <row r="9" spans="1:14">
      <c r="A9" s="9" t="s">
        <v>7</v>
      </c>
      <c r="B9" s="13">
        <v>6439323</v>
      </c>
      <c r="C9" s="13">
        <v>5445664</v>
      </c>
      <c r="D9" s="45">
        <f t="shared" si="1"/>
        <v>5942493.5</v>
      </c>
      <c r="F9" s="9" t="s">
        <v>41</v>
      </c>
      <c r="G9" s="14">
        <f>B26/B27</f>
        <v>0.57240544893108225</v>
      </c>
      <c r="H9" s="14">
        <f>C26/C27</f>
        <v>0.24149193134211946</v>
      </c>
      <c r="I9" s="14">
        <f>D26/D27</f>
        <v>0.39832209448191158</v>
      </c>
      <c r="K9" t="s">
        <v>80</v>
      </c>
      <c r="L9" s="25">
        <f>(B9+B10+B11)/(B26+B23)</f>
        <v>0.76395360746009466</v>
      </c>
      <c r="M9" s="25">
        <f t="shared" ref="M9:N9" si="6">(C9+C10+C11)/(C26+C23)</f>
        <v>1.2491126743114578</v>
      </c>
      <c r="N9" s="25">
        <f t="shared" si="6"/>
        <v>0.92995461542620683</v>
      </c>
    </row>
    <row r="10" spans="1:14">
      <c r="A10" s="9" t="s">
        <v>8</v>
      </c>
      <c r="B10" s="13">
        <v>23332</v>
      </c>
      <c r="C10" s="13">
        <v>45333</v>
      </c>
      <c r="D10" s="45">
        <f t="shared" si="1"/>
        <v>34332.5</v>
      </c>
      <c r="F10" s="9" t="s">
        <v>38</v>
      </c>
      <c r="G10" s="14">
        <f>SUM(G7:G9)</f>
        <v>1</v>
      </c>
      <c r="H10" s="14">
        <f>SUM(H7:H9)</f>
        <v>0.99999999999999989</v>
      </c>
      <c r="I10" s="14">
        <f>SUM(I7:I9)</f>
        <v>1</v>
      </c>
    </row>
    <row r="11" spans="1:14">
      <c r="A11" s="9" t="s">
        <v>9</v>
      </c>
      <c r="B11" s="13">
        <v>34432</v>
      </c>
      <c r="C11" s="13">
        <v>34333</v>
      </c>
      <c r="D11" s="45">
        <f t="shared" si="1"/>
        <v>34382.5</v>
      </c>
      <c r="K11" s="29" t="s">
        <v>81</v>
      </c>
      <c r="L11" s="10">
        <v>2019</v>
      </c>
      <c r="M11" s="10">
        <v>2018</v>
      </c>
      <c r="N11" s="10" t="s">
        <v>20</v>
      </c>
    </row>
    <row r="12" spans="1:14">
      <c r="A12" s="9"/>
      <c r="B12" s="13"/>
      <c r="C12" s="13"/>
      <c r="D12" s="45"/>
      <c r="K12" t="s">
        <v>82</v>
      </c>
      <c r="L12" s="30">
        <f>(B16+B23)/B26</f>
        <v>0.74701341831635892</v>
      </c>
      <c r="M12" s="30">
        <f t="shared" ref="M12:N12" si="7">(C16+C23)/C26</f>
        <v>3.1409251002399285</v>
      </c>
      <c r="N12" s="30">
        <f t="shared" si="7"/>
        <v>1.5105310849017228</v>
      </c>
    </row>
    <row r="13" spans="1:14">
      <c r="A13" s="11" t="s">
        <v>10</v>
      </c>
      <c r="B13" s="12">
        <f>B7+B2</f>
        <v>14752398</v>
      </c>
      <c r="C13" s="12">
        <f>C7+C2</f>
        <v>16375338</v>
      </c>
      <c r="D13" s="44">
        <f t="shared" si="1"/>
        <v>15563868</v>
      </c>
      <c r="F13" s="9" t="s">
        <v>42</v>
      </c>
      <c r="G13" s="10">
        <f>G1</f>
        <v>2019</v>
      </c>
      <c r="H13" s="10">
        <f>H1</f>
        <v>2018</v>
      </c>
      <c r="I13" s="41" t="s">
        <v>20</v>
      </c>
      <c r="K13" t="s">
        <v>83</v>
      </c>
      <c r="L13" s="32">
        <f>B16/(B16+B23)</f>
        <v>0.99045599706406662</v>
      </c>
      <c r="M13" s="32">
        <f t="shared" ref="M13:N13" si="8">C16/(C16+C23)</f>
        <v>0.9622495315528935</v>
      </c>
      <c r="N13" s="32">
        <f t="shared" si="8"/>
        <v>0.97174971198210502</v>
      </c>
    </row>
    <row r="14" spans="1:14">
      <c r="F14" s="9" t="s">
        <v>44</v>
      </c>
      <c r="G14" s="15">
        <f>(B18+B19+B20+B21+B22+B25)/B27</f>
        <v>0.1184848727644143</v>
      </c>
      <c r="H14" s="15">
        <f t="shared" ref="H14:I14" si="9">(C18+C19+C20+C21+C22+C25)/C27</f>
        <v>0.49855728168786501</v>
      </c>
      <c r="I14" s="15">
        <f t="shared" si="9"/>
        <v>0.31842919767759531</v>
      </c>
      <c r="K14" t="s">
        <v>84</v>
      </c>
      <c r="L14" s="30">
        <f>(B16+B23)/B13</f>
        <v>0.42759455106891775</v>
      </c>
      <c r="M14" s="30">
        <f t="shared" ref="M14:N14" si="10">(C16+C23)/C13</f>
        <v>0.75850806865788056</v>
      </c>
      <c r="N14" s="30">
        <f t="shared" si="10"/>
        <v>0.60167790551808842</v>
      </c>
    </row>
    <row r="15" spans="1:14">
      <c r="A15" s="10" t="s">
        <v>66</v>
      </c>
      <c r="B15" s="10">
        <f>B1</f>
        <v>2019</v>
      </c>
      <c r="C15" s="10">
        <f>C1</f>
        <v>2018</v>
      </c>
      <c r="D15" s="10" t="s">
        <v>20</v>
      </c>
      <c r="F15" s="9" t="s">
        <v>43</v>
      </c>
      <c r="G15" s="15">
        <f>(B17+B24)/B27</f>
        <v>0.30910967830450342</v>
      </c>
      <c r="H15" s="15">
        <f t="shared" ref="H15:I15" si="11">(C17+C24)/C27</f>
        <v>0.2599507869700155</v>
      </c>
      <c r="I15" s="15">
        <f t="shared" si="11"/>
        <v>0.28324870784049311</v>
      </c>
      <c r="K15" t="s">
        <v>94</v>
      </c>
      <c r="L15" s="24">
        <f>L26/L20</f>
        <v>1.4806110452613552</v>
      </c>
      <c r="M15" s="24">
        <f>M26/M20</f>
        <v>1.9502723736670502</v>
      </c>
      <c r="N15" s="8">
        <f>AVERAGE(L15:M15)</f>
        <v>1.7154417094642027</v>
      </c>
    </row>
    <row r="16" spans="1:14">
      <c r="A16" s="11" t="s">
        <v>0</v>
      </c>
      <c r="B16" s="12">
        <f>SUM(B17:B22)</f>
        <v>6247841</v>
      </c>
      <c r="C16" s="12">
        <f>SUM(C17:C22)</f>
        <v>11951934</v>
      </c>
      <c r="D16" s="44">
        <f>AVERAGE(B16:C16)</f>
        <v>9099887.5</v>
      </c>
      <c r="F16" s="9" t="s">
        <v>41</v>
      </c>
      <c r="G16" s="15">
        <f>B26/B27</f>
        <v>0.57240544893108225</v>
      </c>
      <c r="H16" s="15">
        <f t="shared" ref="H16:I16" si="12">C26/C27</f>
        <v>0.24149193134211946</v>
      </c>
      <c r="I16" s="15">
        <f t="shared" si="12"/>
        <v>0.39832209448191158</v>
      </c>
      <c r="K16" t="s">
        <v>117</v>
      </c>
      <c r="L16" s="30">
        <f>(B17+B24)/B54</f>
        <v>0.77265677102253938</v>
      </c>
      <c r="M16" s="30">
        <f>(C17+C24)/C54</f>
        <v>1.1902105273459072</v>
      </c>
      <c r="N16" s="30">
        <f>AVERAGE(L16:M16)</f>
        <v>0.98143364918422327</v>
      </c>
    </row>
    <row r="17" spans="1:14">
      <c r="A17" s="9" t="s">
        <v>11</v>
      </c>
      <c r="B17" s="13">
        <v>4554334</v>
      </c>
      <c r="C17" s="13">
        <v>4222345</v>
      </c>
      <c r="D17" s="45">
        <f t="shared" ref="D17:D27" si="13">AVERAGE(B17:C17)</f>
        <v>4388339.5</v>
      </c>
      <c r="F17" s="9" t="s">
        <v>38</v>
      </c>
      <c r="G17" s="16">
        <f>SUM(G14:G16)</f>
        <v>1</v>
      </c>
      <c r="H17" s="16">
        <f t="shared" ref="H17:I17" si="14">SUM(H14:H16)</f>
        <v>0.99999999999999989</v>
      </c>
      <c r="I17" s="16">
        <f t="shared" si="14"/>
        <v>1</v>
      </c>
    </row>
    <row r="18" spans="1:14">
      <c r="A18" s="9" t="s">
        <v>12</v>
      </c>
      <c r="B18" s="13">
        <v>1082399</v>
      </c>
      <c r="C18" s="13">
        <v>34432</v>
      </c>
      <c r="D18" s="45">
        <f t="shared" si="13"/>
        <v>558415.5</v>
      </c>
    </row>
    <row r="19" spans="1:14">
      <c r="A19" s="9" t="s">
        <v>13</v>
      </c>
      <c r="B19" s="13">
        <v>34443</v>
      </c>
      <c r="C19" s="13">
        <v>553325</v>
      </c>
      <c r="D19" s="45">
        <f t="shared" si="13"/>
        <v>293884</v>
      </c>
      <c r="G19" s="10">
        <v>2019</v>
      </c>
      <c r="H19" s="10">
        <v>2018</v>
      </c>
      <c r="I19" s="41" t="s">
        <v>20</v>
      </c>
      <c r="K19" s="29" t="s">
        <v>85</v>
      </c>
      <c r="L19" s="10">
        <v>2019</v>
      </c>
      <c r="M19" s="10">
        <v>2018</v>
      </c>
      <c r="N19" s="10" t="s">
        <v>20</v>
      </c>
    </row>
    <row r="20" spans="1:14">
      <c r="A20" s="9" t="s">
        <v>14</v>
      </c>
      <c r="B20" s="13">
        <v>10080</v>
      </c>
      <c r="C20" s="13">
        <v>3564333</v>
      </c>
      <c r="D20" s="45">
        <f t="shared" si="13"/>
        <v>1787206.5</v>
      </c>
      <c r="F20" t="s">
        <v>87</v>
      </c>
      <c r="G20" s="3">
        <f>B17+B24</f>
        <v>4560109</v>
      </c>
      <c r="H20" s="3">
        <f t="shared" ref="H20:I20" si="15">C17+C24</f>
        <v>4256782</v>
      </c>
      <c r="I20" s="3">
        <f t="shared" si="15"/>
        <v>4408445.5</v>
      </c>
      <c r="K20" t="s">
        <v>86</v>
      </c>
      <c r="L20" s="23">
        <f>G29/G22</f>
        <v>0.2633884000737593</v>
      </c>
      <c r="M20" s="23">
        <f>H29/H22</f>
        <v>0.26708570902466777</v>
      </c>
      <c r="N20" s="34">
        <f>AVERAGE(L20:M20)</f>
        <v>0.26523705454921354</v>
      </c>
    </row>
    <row r="21" spans="1:14">
      <c r="A21" s="9" t="s">
        <v>15</v>
      </c>
      <c r="B21" s="13"/>
      <c r="C21" s="13">
        <v>0</v>
      </c>
      <c r="D21" s="45">
        <f t="shared" si="13"/>
        <v>0</v>
      </c>
      <c r="F21" t="s">
        <v>46</v>
      </c>
      <c r="G21" s="33">
        <f>B26</f>
        <v>8444353</v>
      </c>
      <c r="H21" s="33">
        <f t="shared" ref="H21:I21" si="16">C26</f>
        <v>3954512</v>
      </c>
      <c r="I21" s="33">
        <f t="shared" si="16"/>
        <v>6199432.5</v>
      </c>
      <c r="K21" t="s">
        <v>88</v>
      </c>
      <c r="L21" s="23">
        <f>G29/B32</f>
        <v>0.43424700607893296</v>
      </c>
      <c r="M21" s="23">
        <f>H29/C32</f>
        <v>0.25018158339331814</v>
      </c>
      <c r="N21" s="34">
        <f t="shared" ref="N21:N26" si="17">AVERAGE(L21:M21)</f>
        <v>0.34221429473612552</v>
      </c>
    </row>
    <row r="22" spans="1:14">
      <c r="A22" s="9" t="s">
        <v>16</v>
      </c>
      <c r="B22" s="13">
        <v>566585</v>
      </c>
      <c r="C22" s="13">
        <v>3577499</v>
      </c>
      <c r="D22" s="45">
        <f t="shared" si="13"/>
        <v>2072042</v>
      </c>
      <c r="F22" t="s">
        <v>47</v>
      </c>
      <c r="G22" s="3">
        <f>SUM(G20:G21)</f>
        <v>13004462</v>
      </c>
      <c r="H22" s="3">
        <f t="shared" ref="H22:I22" si="18">SUM(H20:H21)</f>
        <v>8211294</v>
      </c>
      <c r="I22" s="3">
        <f t="shared" si="18"/>
        <v>10607878</v>
      </c>
      <c r="K22" t="s">
        <v>89</v>
      </c>
      <c r="L22" s="35">
        <f>B32/G22</f>
        <v>0.60654050894223843</v>
      </c>
      <c r="M22" s="35">
        <f>C32/H22</f>
        <v>1.0675674260354093</v>
      </c>
      <c r="N22" s="37">
        <f t="shared" si="17"/>
        <v>0.83705396748882388</v>
      </c>
    </row>
    <row r="23" spans="1:14">
      <c r="A23" s="11" t="s">
        <v>5</v>
      </c>
      <c r="B23" s="12">
        <f>B24+B25</f>
        <v>60204</v>
      </c>
      <c r="C23" s="12">
        <f>C24+C25</f>
        <v>468892</v>
      </c>
      <c r="D23" s="44">
        <f t="shared" si="13"/>
        <v>264548</v>
      </c>
      <c r="F23" s="3"/>
      <c r="K23" t="s">
        <v>90</v>
      </c>
      <c r="L23" s="23">
        <f>B41/B13</f>
        <v>0.22322425818500827</v>
      </c>
      <c r="M23" s="23">
        <f>C41/C13</f>
        <v>0.12579070306823589</v>
      </c>
      <c r="N23" s="34">
        <f t="shared" si="17"/>
        <v>0.17450748062662208</v>
      </c>
    </row>
    <row r="24" spans="1:14">
      <c r="A24" s="9" t="s">
        <v>11</v>
      </c>
      <c r="B24" s="13">
        <v>5775</v>
      </c>
      <c r="C24" s="13">
        <v>34437</v>
      </c>
      <c r="D24" s="45">
        <f t="shared" si="13"/>
        <v>20106</v>
      </c>
      <c r="F24" s="11" t="s">
        <v>48</v>
      </c>
      <c r="G24" s="10">
        <v>2019</v>
      </c>
      <c r="H24" s="10">
        <v>2018</v>
      </c>
      <c r="K24" t="s">
        <v>91</v>
      </c>
      <c r="L24" s="23">
        <f>B41/B32</f>
        <v>0.41749550853204587</v>
      </c>
      <c r="M24" s="23">
        <f>C41/C32</f>
        <v>0.23498054211046862</v>
      </c>
      <c r="N24" s="34">
        <f t="shared" si="17"/>
        <v>0.32623802532125723</v>
      </c>
    </row>
    <row r="25" spans="1:14">
      <c r="A25" s="9" t="s">
        <v>17</v>
      </c>
      <c r="B25" s="13">
        <f>5837+24481+24111</f>
        <v>54429</v>
      </c>
      <c r="C25" s="13">
        <v>434455</v>
      </c>
      <c r="D25" s="45">
        <f t="shared" si="13"/>
        <v>244442</v>
      </c>
      <c r="F25" s="9" t="s">
        <v>49</v>
      </c>
      <c r="G25" s="19">
        <f>B36</f>
        <v>5134291</v>
      </c>
      <c r="H25" s="19">
        <f>C36</f>
        <v>3261921</v>
      </c>
      <c r="K25" t="s">
        <v>92</v>
      </c>
      <c r="L25" s="36">
        <f>B32/B13</f>
        <v>0.53467463391375425</v>
      </c>
      <c r="M25" s="36">
        <f>C32/C13</f>
        <v>0.53532391209268471</v>
      </c>
      <c r="N25" s="26">
        <f t="shared" si="17"/>
        <v>0.53499927300321948</v>
      </c>
    </row>
    <row r="26" spans="1:14">
      <c r="A26" s="11" t="s">
        <v>18</v>
      </c>
      <c r="B26" s="12">
        <v>8444353</v>
      </c>
      <c r="C26" s="12">
        <v>3954512</v>
      </c>
      <c r="D26" s="44">
        <f t="shared" si="13"/>
        <v>6199432.5</v>
      </c>
      <c r="F26" s="9" t="s">
        <v>50</v>
      </c>
      <c r="G26" s="19">
        <f>B37</f>
        <v>55443</v>
      </c>
      <c r="H26" s="19">
        <f>C37</f>
        <v>60987</v>
      </c>
      <c r="K26" t="s">
        <v>93</v>
      </c>
      <c r="L26" s="23">
        <f>B41/B26</f>
        <v>0.38997577434292474</v>
      </c>
      <c r="M26" s="23">
        <f>C41/C26</f>
        <v>0.52088987971208589</v>
      </c>
      <c r="N26" s="23">
        <f t="shared" si="17"/>
        <v>0.45543282702750532</v>
      </c>
    </row>
    <row r="27" spans="1:14">
      <c r="A27" s="11" t="s">
        <v>19</v>
      </c>
      <c r="B27" s="12">
        <f>B26+B23+B16</f>
        <v>14752398</v>
      </c>
      <c r="C27" s="12">
        <f>C26+C23+C16</f>
        <v>16375338</v>
      </c>
      <c r="D27" s="44">
        <f t="shared" si="13"/>
        <v>15563868</v>
      </c>
      <c r="F27" s="9" t="s">
        <v>51</v>
      </c>
      <c r="G27" s="19">
        <f>G25+G26</f>
        <v>5189734</v>
      </c>
      <c r="H27" s="19">
        <f>H25+H26</f>
        <v>3322908</v>
      </c>
    </row>
    <row r="28" spans="1:14">
      <c r="A28" s="42"/>
      <c r="B28" s="43">
        <f>B27-B13</f>
        <v>0</v>
      </c>
      <c r="C28" s="43">
        <f>C27-C13</f>
        <v>0</v>
      </c>
      <c r="D28" s="46"/>
      <c r="F28" s="9" t="s">
        <v>52</v>
      </c>
      <c r="G28" s="20">
        <f>G27*D33</f>
        <v>1764509.56</v>
      </c>
      <c r="H28" s="20">
        <f>H27*D35</f>
        <v>1129788.72</v>
      </c>
    </row>
    <row r="29" spans="1:14">
      <c r="A29" s="42"/>
      <c r="B29" s="43"/>
      <c r="C29" s="43"/>
      <c r="D29" s="46"/>
      <c r="F29" s="11" t="s">
        <v>53</v>
      </c>
      <c r="G29" s="21">
        <f>G27-G28</f>
        <v>3425224.44</v>
      </c>
      <c r="H29" s="21">
        <f>H27-H28</f>
        <v>2193119.2800000003</v>
      </c>
    </row>
    <row r="30" spans="1:14">
      <c r="A30" s="42"/>
      <c r="B30" s="43"/>
      <c r="C30" s="43"/>
      <c r="D30" s="46"/>
      <c r="F30" s="9" t="s">
        <v>54</v>
      </c>
      <c r="G30" s="19">
        <f>B38</f>
        <v>200199</v>
      </c>
      <c r="H30" s="19">
        <f>C38</f>
        <v>201900</v>
      </c>
    </row>
    <row r="31" spans="1:14">
      <c r="A31" s="10" t="s">
        <v>68</v>
      </c>
      <c r="B31" s="10">
        <f>B15</f>
        <v>2019</v>
      </c>
      <c r="C31" s="10">
        <f>C15</f>
        <v>2018</v>
      </c>
      <c r="F31" s="9" t="s">
        <v>55</v>
      </c>
      <c r="G31" s="20">
        <f>G30*D33</f>
        <v>68067.66</v>
      </c>
      <c r="H31" s="20">
        <f>H30*D35</f>
        <v>68646</v>
      </c>
      <c r="K31" s="29" t="s">
        <v>95</v>
      </c>
      <c r="L31" s="10">
        <v>2019</v>
      </c>
      <c r="M31" s="10">
        <v>2018</v>
      </c>
      <c r="N31" s="10" t="s">
        <v>20</v>
      </c>
    </row>
    <row r="32" spans="1:14">
      <c r="A32" s="11" t="s">
        <v>21</v>
      </c>
      <c r="B32" s="12">
        <v>7887733</v>
      </c>
      <c r="C32" s="12">
        <v>8766110</v>
      </c>
      <c r="D32" s="28" t="s">
        <v>45</v>
      </c>
      <c r="F32" s="11" t="s">
        <v>29</v>
      </c>
      <c r="G32" s="21">
        <f>G29-G30+G31</f>
        <v>3293093.1</v>
      </c>
      <c r="H32" s="21">
        <f>H29-H30+H31</f>
        <v>2059865.2800000003</v>
      </c>
      <c r="K32" t="s">
        <v>96</v>
      </c>
      <c r="L32" s="4">
        <f>B3</f>
        <v>123334</v>
      </c>
      <c r="M32" s="4">
        <f>C3</f>
        <v>233422</v>
      </c>
      <c r="N32" s="4">
        <f>D3</f>
        <v>178378</v>
      </c>
    </row>
    <row r="33" spans="1:14">
      <c r="A33" s="9" t="s">
        <v>70</v>
      </c>
      <c r="B33" s="13">
        <v>2321221</v>
      </c>
      <c r="C33" s="13">
        <v>3222199</v>
      </c>
      <c r="D33" s="47">
        <f>B40/B39</f>
        <v>0.34</v>
      </c>
      <c r="G33" s="8"/>
      <c r="H33" s="8"/>
      <c r="K33" t="s">
        <v>97</v>
      </c>
      <c r="L33" s="3">
        <f>B4+B5+B6</f>
        <v>5687555</v>
      </c>
      <c r="M33" s="3">
        <f>C4+C5+C6</f>
        <v>10355398</v>
      </c>
      <c r="N33" s="3">
        <f>D4+D5+D6</f>
        <v>8021476.5</v>
      </c>
    </row>
    <row r="34" spans="1:14">
      <c r="A34" s="11" t="s">
        <v>22</v>
      </c>
      <c r="B34" s="12">
        <f>B32-B33</f>
        <v>5566512</v>
      </c>
      <c r="C34" s="12">
        <f>C32-C33</f>
        <v>5543911</v>
      </c>
      <c r="D34" s="28" t="s">
        <v>45</v>
      </c>
      <c r="F34" s="11" t="s">
        <v>56</v>
      </c>
      <c r="G34" s="19"/>
      <c r="H34" s="19"/>
      <c r="K34" t="s">
        <v>98</v>
      </c>
      <c r="L34" s="3">
        <f>L32+L33</f>
        <v>5810889</v>
      </c>
      <c r="M34" s="3">
        <f>M32+M33</f>
        <v>10588820</v>
      </c>
      <c r="N34" s="3">
        <f>N32+N33</f>
        <v>8199854.5</v>
      </c>
    </row>
    <row r="35" spans="1:14">
      <c r="A35" s="9" t="s">
        <v>23</v>
      </c>
      <c r="B35" s="13">
        <v>432221</v>
      </c>
      <c r="C35" s="13">
        <v>2281990</v>
      </c>
      <c r="D35" s="47">
        <f>C40/C39</f>
        <v>0.33999999999999997</v>
      </c>
      <c r="F35" s="9" t="s">
        <v>49</v>
      </c>
      <c r="G35" s="19">
        <f>G25</f>
        <v>5134291</v>
      </c>
      <c r="H35" s="19">
        <f>H25</f>
        <v>3261921</v>
      </c>
      <c r="K35" t="s">
        <v>99</v>
      </c>
      <c r="L35" s="4">
        <f>B17</f>
        <v>4554334</v>
      </c>
      <c r="M35" s="4">
        <f>C17</f>
        <v>4222345</v>
      </c>
      <c r="N35" s="4">
        <f>D17</f>
        <v>4388339.5</v>
      </c>
    </row>
    <row r="36" spans="1:14">
      <c r="A36" s="11" t="s">
        <v>24</v>
      </c>
      <c r="B36" s="12">
        <f>B34-B35</f>
        <v>5134291</v>
      </c>
      <c r="C36" s="12">
        <f>C34-C35</f>
        <v>3261921</v>
      </c>
      <c r="D36" s="28" t="s">
        <v>61</v>
      </c>
      <c r="F36" s="17" t="s">
        <v>52</v>
      </c>
      <c r="G36" s="20">
        <f>G35*D33</f>
        <v>1745658.9400000002</v>
      </c>
      <c r="H36" s="20">
        <f>H35*D35</f>
        <v>1109053.1399999999</v>
      </c>
      <c r="K36" t="s">
        <v>100</v>
      </c>
      <c r="L36" s="3">
        <f>B18+B19+B20+B21+B22</f>
        <v>1693507</v>
      </c>
      <c r="M36" s="3">
        <f>C18+C19+C20+C21+C22</f>
        <v>7729589</v>
      </c>
      <c r="N36" s="3">
        <f>D18+D19+D20+D21+D22</f>
        <v>4711548</v>
      </c>
    </row>
    <row r="37" spans="1:14">
      <c r="A37" s="9" t="s">
        <v>25</v>
      </c>
      <c r="B37" s="13">
        <v>55443</v>
      </c>
      <c r="C37" s="13">
        <v>60987</v>
      </c>
      <c r="D37" s="23">
        <f>B41/D26</f>
        <v>0.53119266965161727</v>
      </c>
      <c r="F37" s="11" t="s">
        <v>56</v>
      </c>
      <c r="G37" s="22">
        <f>G35-G36</f>
        <v>3388632.0599999996</v>
      </c>
      <c r="H37" s="22">
        <f>H35-H36</f>
        <v>2152867.8600000003</v>
      </c>
      <c r="K37" t="s">
        <v>101</v>
      </c>
      <c r="L37" s="3">
        <f>L35+L36</f>
        <v>6247841</v>
      </c>
      <c r="M37" s="3">
        <f>M35+M36</f>
        <v>11951934</v>
      </c>
      <c r="N37" s="3">
        <f>N35+N36</f>
        <v>9099887.5</v>
      </c>
    </row>
    <row r="38" spans="1:14">
      <c r="A38" s="17" t="s">
        <v>26</v>
      </c>
      <c r="B38" s="13">
        <v>200199</v>
      </c>
      <c r="C38" s="13">
        <v>201900</v>
      </c>
      <c r="F38" s="17" t="s">
        <v>50</v>
      </c>
      <c r="G38" s="19">
        <f>G26</f>
        <v>55443</v>
      </c>
      <c r="H38" s="19">
        <f>H26</f>
        <v>60987</v>
      </c>
      <c r="K38" t="s">
        <v>102</v>
      </c>
      <c r="L38" s="3">
        <f>L33-L36</f>
        <v>3994048</v>
      </c>
      <c r="M38" s="3">
        <f t="shared" ref="M38:N38" si="19">M33-M36</f>
        <v>2625809</v>
      </c>
      <c r="N38" s="3">
        <f t="shared" si="19"/>
        <v>3309928.5</v>
      </c>
    </row>
    <row r="39" spans="1:14">
      <c r="A39" s="11" t="s">
        <v>27</v>
      </c>
      <c r="B39" s="12">
        <f>B36-B38+B37</f>
        <v>4989535</v>
      </c>
      <c r="C39" s="12">
        <f>C36-C38+C37</f>
        <v>3121008</v>
      </c>
      <c r="F39" s="17" t="s">
        <v>52</v>
      </c>
      <c r="G39" s="20">
        <f>G38*D33</f>
        <v>18850.620000000003</v>
      </c>
      <c r="H39" s="20">
        <f>H38*D35</f>
        <v>20735.579999999998</v>
      </c>
      <c r="K39" t="s">
        <v>103</v>
      </c>
      <c r="L39" s="3">
        <f>L34-L37</f>
        <v>-436952</v>
      </c>
      <c r="M39" s="3">
        <f t="shared" ref="M39:N39" si="20">M34-M37</f>
        <v>-1363114</v>
      </c>
      <c r="N39" s="3">
        <f t="shared" si="20"/>
        <v>-900033</v>
      </c>
    </row>
    <row r="40" spans="1:14">
      <c r="A40" s="17" t="s">
        <v>28</v>
      </c>
      <c r="B40" s="13">
        <f>B39*0.34</f>
        <v>1696441.9000000001</v>
      </c>
      <c r="C40" s="13">
        <f>C39*0.34</f>
        <v>1061142.72</v>
      </c>
      <c r="D40" s="23"/>
      <c r="F40" s="11" t="s">
        <v>53</v>
      </c>
      <c r="G40" s="22">
        <f>G37+G38-G39</f>
        <v>3425224.4399999995</v>
      </c>
      <c r="H40" s="22">
        <f>H37+H38-H39</f>
        <v>2193119.2800000003</v>
      </c>
      <c r="K40" t="s">
        <v>104</v>
      </c>
      <c r="L40" s="3">
        <f>L32-L35</f>
        <v>-4431000</v>
      </c>
      <c r="M40" s="3">
        <f t="shared" ref="M40:N40" si="21">M32-M35</f>
        <v>-3988923</v>
      </c>
      <c r="N40" s="3">
        <f t="shared" si="21"/>
        <v>-4209961.5</v>
      </c>
    </row>
    <row r="41" spans="1:14">
      <c r="A41" s="11" t="s">
        <v>29</v>
      </c>
      <c r="B41" s="12">
        <f>B39-B40</f>
        <v>3293093.0999999996</v>
      </c>
      <c r="C41" s="12">
        <f>C39-C40</f>
        <v>2059865.28</v>
      </c>
      <c r="F41" s="9" t="s">
        <v>54</v>
      </c>
      <c r="G41" s="19">
        <f>G30</f>
        <v>200199</v>
      </c>
      <c r="H41" s="19">
        <f>H30</f>
        <v>201900</v>
      </c>
      <c r="K41" t="s">
        <v>105</v>
      </c>
      <c r="L41" s="28" t="str">
        <f>IF(L40&gt;0,IF(L39&gt;L38,"baixo risco","médio risco"),IF(L39&gt;0,"médio risco","altorisco"))</f>
        <v>altorisco</v>
      </c>
      <c r="M41" s="28" t="str">
        <f>IF(M40&gt;0,IF(M39&gt;M38,"baixo risco","médio risco"),IF(M39&gt;0,"médio risco","altorisco"))</f>
        <v>altorisco</v>
      </c>
      <c r="N41" s="28" t="str">
        <f>IF(N40&gt;0,IF(N39&gt;N38,"baixo risco","médio risco"),IF(N39&gt;0,"médio risco","altorisco"))</f>
        <v>altorisco</v>
      </c>
    </row>
    <row r="42" spans="1:14">
      <c r="F42" s="9" t="s">
        <v>55</v>
      </c>
      <c r="G42" s="20">
        <f>G41*D33</f>
        <v>68067.66</v>
      </c>
      <c r="H42" s="20">
        <f>H41*D35</f>
        <v>68646</v>
      </c>
    </row>
    <row r="43" spans="1:14">
      <c r="A43" s="9" t="s">
        <v>30</v>
      </c>
      <c r="B43" s="13">
        <v>767565</v>
      </c>
      <c r="F43" s="11" t="s">
        <v>29</v>
      </c>
      <c r="G43" s="21">
        <f>G40-G41+G42</f>
        <v>3293093.0999999996</v>
      </c>
      <c r="H43" s="21">
        <f>H40-H41+H42</f>
        <v>2059865.2800000003</v>
      </c>
      <c r="K43" s="29" t="s">
        <v>106</v>
      </c>
      <c r="L43" s="10">
        <v>2019</v>
      </c>
      <c r="M43" s="10">
        <v>2018</v>
      </c>
      <c r="N43" s="10" t="s">
        <v>20</v>
      </c>
    </row>
    <row r="44" spans="1:14">
      <c r="A44" s="9" t="s">
        <v>31</v>
      </c>
      <c r="B44" s="13">
        <v>786543</v>
      </c>
      <c r="K44" t="s">
        <v>107</v>
      </c>
      <c r="L44" s="38">
        <f>360/(B33/B5)</f>
        <v>189.38477637415826</v>
      </c>
      <c r="M44" s="38">
        <f>360/(C33/C5)</f>
        <v>609.50794162620002</v>
      </c>
    </row>
    <row r="45" spans="1:14">
      <c r="A45" s="9" t="s">
        <v>32</v>
      </c>
      <c r="B45" s="9"/>
      <c r="K45" t="s">
        <v>108</v>
      </c>
      <c r="L45" s="38">
        <f>360/(B32/B4)</f>
        <v>56.335061037182676</v>
      </c>
      <c r="M45" s="38">
        <f>360/(C32/C4)</f>
        <v>178.45907477775205</v>
      </c>
    </row>
    <row r="46" spans="1:14">
      <c r="A46" s="9" t="s">
        <v>71</v>
      </c>
      <c r="B46" s="18">
        <f>B2-B16</f>
        <v>-436952</v>
      </c>
      <c r="D46" s="28" t="s">
        <v>69</v>
      </c>
      <c r="K46" t="s">
        <v>109</v>
      </c>
      <c r="L46" s="39">
        <f>360/((B5-C5+B33)/B18)</f>
        <v>-203.68285862139263</v>
      </c>
    </row>
    <row r="47" spans="1:14">
      <c r="A47" s="9" t="s">
        <v>65</v>
      </c>
      <c r="B47" s="18">
        <f>C2-C16</f>
        <v>-1363114</v>
      </c>
      <c r="D47" s="48">
        <v>795558</v>
      </c>
      <c r="K47" t="s">
        <v>111</v>
      </c>
      <c r="L47" s="38">
        <f>L44+L45</f>
        <v>245.71983741134093</v>
      </c>
    </row>
    <row r="48" spans="1:14">
      <c r="A48" s="9" t="s">
        <v>33</v>
      </c>
      <c r="B48" s="18">
        <f>B46-B47</f>
        <v>926162</v>
      </c>
      <c r="D48" s="48"/>
      <c r="K48" t="s">
        <v>110</v>
      </c>
      <c r="L48" s="38">
        <f>L47-L46</f>
        <v>449.40269603273356</v>
      </c>
    </row>
    <row r="49" spans="1:14">
      <c r="C49" s="3"/>
    </row>
    <row r="50" spans="1:14">
      <c r="A50" s="9" t="s">
        <v>64</v>
      </c>
      <c r="B50" s="18">
        <f>(B16+B23)-(C16+C23)</f>
        <v>-6112781</v>
      </c>
      <c r="K50" s="29" t="s">
        <v>112</v>
      </c>
      <c r="L50" s="10">
        <v>2019</v>
      </c>
      <c r="M50" s="10">
        <v>2018</v>
      </c>
      <c r="N50" s="10" t="s">
        <v>20</v>
      </c>
    </row>
    <row r="51" spans="1:14">
      <c r="A51" s="1" t="s">
        <v>57</v>
      </c>
      <c r="B51" s="10">
        <v>2019</v>
      </c>
      <c r="C51" s="10">
        <v>2018</v>
      </c>
      <c r="G51" s="8"/>
      <c r="K51" t="s">
        <v>113</v>
      </c>
      <c r="L51" s="40">
        <f>G29/B38</f>
        <v>17.109098646846387</v>
      </c>
      <c r="M51" s="40">
        <f>H29/C38</f>
        <v>10.862403566121843</v>
      </c>
      <c r="N51" s="40">
        <f>AVERAGE(L51:M51)</f>
        <v>13.985751106484116</v>
      </c>
    </row>
    <row r="52" spans="1:14">
      <c r="A52" t="s">
        <v>58</v>
      </c>
      <c r="B52" s="4">
        <f>B36</f>
        <v>5134291</v>
      </c>
      <c r="C52" s="4">
        <f>C36</f>
        <v>3261921</v>
      </c>
      <c r="G52" s="8"/>
      <c r="K52" t="s">
        <v>114</v>
      </c>
      <c r="L52" s="40">
        <f>B54/B38</f>
        <v>29.479947452284975</v>
      </c>
      <c r="M52" s="40">
        <f>C54/C38</f>
        <v>17.714190193164931</v>
      </c>
      <c r="N52" s="40">
        <f t="shared" ref="N52:N56" si="22">AVERAGE(L52:M52)</f>
        <v>23.597068822724953</v>
      </c>
    </row>
    <row r="53" spans="1:14">
      <c r="A53" t="s">
        <v>59</v>
      </c>
      <c r="B53" s="2">
        <f>B43</f>
        <v>767565</v>
      </c>
      <c r="C53" s="2">
        <v>314574</v>
      </c>
      <c r="K53" t="s">
        <v>115</v>
      </c>
      <c r="L53" s="31">
        <f>B34/B32</f>
        <v>0.70571759972098447</v>
      </c>
      <c r="M53" s="31">
        <f>C34/C32</f>
        <v>0.6324254429844024</v>
      </c>
      <c r="N53" s="31">
        <f t="shared" si="22"/>
        <v>0.66907152135269343</v>
      </c>
    </row>
    <row r="54" spans="1:14">
      <c r="A54" s="1" t="s">
        <v>60</v>
      </c>
      <c r="B54" s="5">
        <f>B52+B53</f>
        <v>5901856</v>
      </c>
      <c r="C54" s="5">
        <f>C52+C53</f>
        <v>3576495</v>
      </c>
      <c r="K54" t="s">
        <v>116</v>
      </c>
      <c r="L54" s="31">
        <f>B54/B32</f>
        <v>0.74823222337774364</v>
      </c>
      <c r="M54" s="31">
        <f>C54/C32</f>
        <v>0.40799111578567915</v>
      </c>
      <c r="N54" s="31">
        <f t="shared" si="22"/>
        <v>0.57811166958171145</v>
      </c>
    </row>
    <row r="55" spans="1:14">
      <c r="K55" t="s">
        <v>88</v>
      </c>
      <c r="L55" s="31">
        <f>G40/B32</f>
        <v>0.43424700607893291</v>
      </c>
      <c r="M55" s="31">
        <f>H40/C32</f>
        <v>0.25018158339331814</v>
      </c>
      <c r="N55" s="31">
        <f t="shared" si="22"/>
        <v>0.34221429473612552</v>
      </c>
    </row>
    <row r="56" spans="1:14">
      <c r="A56" t="s">
        <v>392</v>
      </c>
      <c r="B56" s="191">
        <f>B10+B11-C10-C11</f>
        <v>-21902</v>
      </c>
      <c r="K56" t="s">
        <v>91</v>
      </c>
      <c r="L56" s="31">
        <f>B41/B32</f>
        <v>0.41749550853204587</v>
      </c>
      <c r="M56" s="31">
        <f>C41/C32</f>
        <v>0.23498054211046862</v>
      </c>
      <c r="N56" s="31">
        <f t="shared" si="22"/>
        <v>0.32623802532125723</v>
      </c>
    </row>
  </sheetData>
  <phoneticPr fontId="6" type="noConversion"/>
  <conditionalFormatting sqref="L2:M2">
    <cfRule type="cellIs" dxfId="76" priority="23" operator="lessThan">
      <formula>$N$2</formula>
    </cfRule>
  </conditionalFormatting>
  <conditionalFormatting sqref="L3:M3">
    <cfRule type="cellIs" dxfId="75" priority="22" operator="lessThan">
      <formula>$N$3</formula>
    </cfRule>
  </conditionalFormatting>
  <conditionalFormatting sqref="L4:M4">
    <cfRule type="cellIs" dxfId="74" priority="21" operator="lessThan">
      <formula>$N$4</formula>
    </cfRule>
  </conditionalFormatting>
  <conditionalFormatting sqref="L5:M5">
    <cfRule type="cellIs" dxfId="73" priority="20" operator="lessThan">
      <formula>$N$5</formula>
    </cfRule>
  </conditionalFormatting>
  <conditionalFormatting sqref="L12:N12">
    <cfRule type="cellIs" dxfId="72" priority="13" operator="greaterThan">
      <formula>$N$12</formula>
    </cfRule>
    <cfRule type="cellIs" dxfId="71" priority="17" operator="lessThan">
      <formula>$N$8</formula>
    </cfRule>
  </conditionalFormatting>
  <conditionalFormatting sqref="L8:M8">
    <cfRule type="cellIs" dxfId="70" priority="15" operator="greaterThan">
      <formula>$N$8</formula>
    </cfRule>
  </conditionalFormatting>
  <conditionalFormatting sqref="L9:M9">
    <cfRule type="cellIs" dxfId="69" priority="14" operator="greaterThan">
      <formula>$N$9</formula>
    </cfRule>
  </conditionalFormatting>
  <conditionalFormatting sqref="L13:N13">
    <cfRule type="cellIs" dxfId="68" priority="12" operator="greaterThan">
      <formula>$N$13</formula>
    </cfRule>
  </conditionalFormatting>
  <conditionalFormatting sqref="L14:N14">
    <cfRule type="cellIs" dxfId="67" priority="11" operator="greaterThan">
      <formula>$N$14</formula>
    </cfRule>
  </conditionalFormatting>
  <conditionalFormatting sqref="L20:M20">
    <cfRule type="cellIs" dxfId="66" priority="8" operator="lessThan">
      <formula>$N$20</formula>
    </cfRule>
  </conditionalFormatting>
  <conditionalFormatting sqref="L21:M21">
    <cfRule type="cellIs" dxfId="65" priority="7" operator="lessThan">
      <formula>$N$21</formula>
    </cfRule>
  </conditionalFormatting>
  <conditionalFormatting sqref="L22:M22">
    <cfRule type="cellIs" dxfId="64" priority="6" operator="lessThan">
      <formula>$N$22</formula>
    </cfRule>
  </conditionalFormatting>
  <conditionalFormatting sqref="L23:N23">
    <cfRule type="cellIs" dxfId="63" priority="5" operator="lessThan">
      <formula>$N$23</formula>
    </cfRule>
  </conditionalFormatting>
  <conditionalFormatting sqref="L24:N24">
    <cfRule type="cellIs" dxfId="62" priority="4" operator="lessThan">
      <formula>$N$24</formula>
    </cfRule>
  </conditionalFormatting>
  <conditionalFormatting sqref="L25:N25">
    <cfRule type="cellIs" dxfId="61" priority="3" operator="lessThan">
      <formula>$N$25</formula>
    </cfRule>
  </conditionalFormatting>
  <conditionalFormatting sqref="L26:M26">
    <cfRule type="cellIs" dxfId="60" priority="2" operator="lessThan">
      <formula>$N$26</formula>
    </cfRule>
  </conditionalFormatting>
  <conditionalFormatting sqref="L15:M15">
    <cfRule type="cellIs" dxfId="59" priority="1" operator="lessThan">
      <formula>$N$15</formula>
    </cfRule>
  </conditionalFormatting>
  <pageMargins left="0.15748031496062992" right="0.15748031496062992" top="0.98425196850393704" bottom="0.98425196850393704" header="0.51181102362204722" footer="0.51181102362204722"/>
  <pageSetup paperSize="9" orientation="landscape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workbookViewId="0">
      <selection activeCell="B9" sqref="B9"/>
    </sheetView>
  </sheetViews>
  <sheetFormatPr defaultColWidth="11" defaultRowHeight="15.75"/>
  <cols>
    <col min="1" max="1" width="37.5" bestFit="1" customWidth="1"/>
    <col min="13" max="13" width="11.5" bestFit="1" customWidth="1"/>
  </cols>
  <sheetData>
    <row r="1" spans="1:13">
      <c r="A1" t="s">
        <v>253</v>
      </c>
    </row>
    <row r="2" spans="1:13">
      <c r="A2" t="s">
        <v>281</v>
      </c>
      <c r="B2" s="93" t="s">
        <v>159</v>
      </c>
    </row>
    <row r="3" spans="1:13">
      <c r="A3" s="1" t="s">
        <v>340</v>
      </c>
      <c r="B3" s="28">
        <f ca="1">YEAR(TODAY())</f>
        <v>2020</v>
      </c>
      <c r="C3" s="28">
        <f ca="1">B3+1</f>
        <v>2021</v>
      </c>
      <c r="D3" s="28">
        <f t="shared" ref="D3:L3" ca="1" si="0">C3+1</f>
        <v>2022</v>
      </c>
      <c r="E3" s="28">
        <f t="shared" ca="1" si="0"/>
        <v>2023</v>
      </c>
      <c r="F3" s="28">
        <f t="shared" ca="1" si="0"/>
        <v>2024</v>
      </c>
      <c r="G3" s="28">
        <f t="shared" ca="1" si="0"/>
        <v>2025</v>
      </c>
      <c r="H3" s="28">
        <f t="shared" ca="1" si="0"/>
        <v>2026</v>
      </c>
      <c r="I3" s="28">
        <f t="shared" ca="1" si="0"/>
        <v>2027</v>
      </c>
      <c r="J3" s="28">
        <f t="shared" ca="1" si="0"/>
        <v>2028</v>
      </c>
      <c r="K3" s="28">
        <f t="shared" ca="1" si="0"/>
        <v>2029</v>
      </c>
      <c r="L3" s="28">
        <f t="shared" ca="1" si="0"/>
        <v>2030</v>
      </c>
      <c r="M3" t="s">
        <v>381</v>
      </c>
    </row>
    <row r="4" spans="1:13">
      <c r="A4" t="s">
        <v>282</v>
      </c>
      <c r="B4" s="35">
        <f>VLOOKUP(B2,Table1[[Industry  Name]:[Unlevered beta]],6,FALSE)</f>
        <v>0.80341694002474651</v>
      </c>
      <c r="C4" s="35">
        <f>B4</f>
        <v>0.80341694002474651</v>
      </c>
      <c r="D4" s="35">
        <f t="shared" ref="D4:L4" si="1">C4</f>
        <v>0.80341694002474651</v>
      </c>
      <c r="E4" s="35">
        <f t="shared" si="1"/>
        <v>0.80341694002474651</v>
      </c>
      <c r="F4" s="35">
        <f t="shared" si="1"/>
        <v>0.80341694002474651</v>
      </c>
      <c r="G4" s="35">
        <f t="shared" si="1"/>
        <v>0.80341694002474651</v>
      </c>
      <c r="H4" s="35">
        <f t="shared" si="1"/>
        <v>0.80341694002474651</v>
      </c>
      <c r="I4" s="35">
        <f t="shared" si="1"/>
        <v>0.80341694002474651</v>
      </c>
      <c r="J4" s="35">
        <f t="shared" si="1"/>
        <v>0.80341694002474651</v>
      </c>
      <c r="K4" s="35">
        <f t="shared" si="1"/>
        <v>0.80341694002474651</v>
      </c>
      <c r="L4" s="35">
        <f t="shared" si="1"/>
        <v>0.80341694002474651</v>
      </c>
      <c r="M4" s="35">
        <f t="shared" ref="M4" si="2">L4</f>
        <v>0.80341694002474651</v>
      </c>
    </row>
    <row r="5" spans="1:13">
      <c r="A5" t="s">
        <v>254</v>
      </c>
      <c r="B5" s="87">
        <f>'Premissas do Valuation'!B22</f>
        <v>0.41558222106249715</v>
      </c>
      <c r="C5" s="87">
        <f>'Premissas do Valuation'!C22</f>
        <v>0.3</v>
      </c>
      <c r="D5" s="87">
        <f>'Premissas do Valuation'!D22</f>
        <v>0.3</v>
      </c>
      <c r="E5" s="87">
        <f>'Premissas do Valuation'!E22</f>
        <v>0.3</v>
      </c>
      <c r="F5" s="87">
        <f>'Premissas do Valuation'!F22</f>
        <v>0.3</v>
      </c>
      <c r="G5" s="87">
        <f>'Premissas do Valuation'!G22</f>
        <v>0.3</v>
      </c>
      <c r="H5" s="87">
        <f>'Premissas do Valuation'!H22</f>
        <v>0.3</v>
      </c>
      <c r="I5" s="87">
        <f>'Premissas do Valuation'!I22</f>
        <v>0.3</v>
      </c>
      <c r="J5" s="87">
        <f>'Premissas do Valuation'!J22</f>
        <v>0.3</v>
      </c>
      <c r="K5" s="87">
        <f>'Premissas do Valuation'!K22</f>
        <v>0.3</v>
      </c>
      <c r="L5" s="87">
        <f>'Premissas do Valuation'!L22</f>
        <v>0.3</v>
      </c>
      <c r="M5" s="87">
        <f>'Premissas do Valuation'!M22</f>
        <v>0.3</v>
      </c>
    </row>
    <row r="6" spans="1:13">
      <c r="A6" t="s">
        <v>46</v>
      </c>
      <c r="B6" s="87">
        <f>'Premissas do Valuation'!B23</f>
        <v>0.58441777893750291</v>
      </c>
      <c r="C6" s="87">
        <f>'Premissas do Valuation'!C23</f>
        <v>0.7</v>
      </c>
      <c r="D6" s="87">
        <f>'Premissas do Valuation'!D23</f>
        <v>0.7</v>
      </c>
      <c r="E6" s="87">
        <f>'Premissas do Valuation'!E23</f>
        <v>0.7</v>
      </c>
      <c r="F6" s="87">
        <f>'Premissas do Valuation'!F23</f>
        <v>0.7</v>
      </c>
      <c r="G6" s="87">
        <f>'Premissas do Valuation'!G23</f>
        <v>0.7</v>
      </c>
      <c r="H6" s="87">
        <f>'Premissas do Valuation'!H23</f>
        <v>0.7</v>
      </c>
      <c r="I6" s="87">
        <f>'Premissas do Valuation'!I23</f>
        <v>0.7</v>
      </c>
      <c r="J6" s="87">
        <f>'Premissas do Valuation'!J23</f>
        <v>0.7</v>
      </c>
      <c r="K6" s="87">
        <f>'Premissas do Valuation'!K23</f>
        <v>0.7</v>
      </c>
      <c r="L6" s="87">
        <f>'Premissas do Valuation'!L23</f>
        <v>0.7</v>
      </c>
      <c r="M6" s="87">
        <f>'Premissas do Valuation'!M23</f>
        <v>0.7</v>
      </c>
    </row>
    <row r="7" spans="1:13">
      <c r="A7" t="s">
        <v>283</v>
      </c>
      <c r="B7" s="87">
        <f>'Premissas do Valuation'!B7</f>
        <v>0.34</v>
      </c>
      <c r="C7" s="87">
        <f>'Premissas do Valuation'!C7</f>
        <v>0.34</v>
      </c>
      <c r="D7" s="87">
        <f>'Premissas do Valuation'!D7</f>
        <v>0.34</v>
      </c>
      <c r="E7" s="87">
        <f>'Premissas do Valuation'!E7</f>
        <v>0.34</v>
      </c>
      <c r="F7" s="87">
        <f>'Premissas do Valuation'!F7</f>
        <v>0.34</v>
      </c>
      <c r="G7" s="87">
        <f>'Premissas do Valuation'!G7</f>
        <v>0.34</v>
      </c>
      <c r="H7" s="87">
        <f>'Premissas do Valuation'!H7</f>
        <v>0.34</v>
      </c>
      <c r="I7" s="87">
        <f>'Premissas do Valuation'!I7</f>
        <v>0.34</v>
      </c>
      <c r="J7" s="87">
        <f>'Premissas do Valuation'!J7</f>
        <v>0.34</v>
      </c>
      <c r="K7" s="87">
        <f>'Premissas do Valuation'!K7</f>
        <v>0.34</v>
      </c>
      <c r="L7" s="87">
        <f>'Premissas do Valuation'!L7</f>
        <v>0.34</v>
      </c>
      <c r="M7" s="87">
        <f>'Premissas do Valuation'!M7</f>
        <v>0.34</v>
      </c>
    </row>
    <row r="8" spans="1:13">
      <c r="A8" t="s">
        <v>285</v>
      </c>
      <c r="B8" s="35">
        <f>B4*(1+B5/B6*(1-B7))</f>
        <v>1.1804838834841793</v>
      </c>
      <c r="C8" s="35">
        <f t="shared" ref="C8:M8" si="3">C4*(1+C5/C6*(1-C7))</f>
        <v>1.0306691602031748</v>
      </c>
      <c r="D8" s="35">
        <f t="shared" si="3"/>
        <v>1.0306691602031748</v>
      </c>
      <c r="E8" s="35">
        <f t="shared" si="3"/>
        <v>1.0306691602031748</v>
      </c>
      <c r="F8" s="35">
        <f t="shared" si="3"/>
        <v>1.0306691602031748</v>
      </c>
      <c r="G8" s="35">
        <f t="shared" si="3"/>
        <v>1.0306691602031748</v>
      </c>
      <c r="H8" s="35">
        <f t="shared" si="3"/>
        <v>1.0306691602031748</v>
      </c>
      <c r="I8" s="35">
        <f t="shared" si="3"/>
        <v>1.0306691602031748</v>
      </c>
      <c r="J8" s="35">
        <f t="shared" si="3"/>
        <v>1.0306691602031748</v>
      </c>
      <c r="K8" s="35">
        <f t="shared" si="3"/>
        <v>1.0306691602031748</v>
      </c>
      <c r="L8" s="35">
        <f t="shared" si="3"/>
        <v>1.0306691602031748</v>
      </c>
      <c r="M8" s="35">
        <f t="shared" si="3"/>
        <v>1.0306691602031748</v>
      </c>
    </row>
    <row r="9" spans="1:13">
      <c r="A9" t="s">
        <v>333</v>
      </c>
      <c r="B9" s="88">
        <f>'Premissas do Valuation'!B11</f>
        <v>6.425921943151941E-2</v>
      </c>
      <c r="C9" s="88">
        <f>'Premissas do Valuation'!C11</f>
        <v>6.425921943151941E-2</v>
      </c>
      <c r="D9" s="88">
        <f>'Premissas do Valuation'!D11</f>
        <v>6.425921943151941E-2</v>
      </c>
      <c r="E9" s="88">
        <f>'Premissas do Valuation'!E11</f>
        <v>6.425921943151941E-2</v>
      </c>
      <c r="F9" s="88">
        <f>'Premissas do Valuation'!F11</f>
        <v>6.425921943151941E-2</v>
      </c>
      <c r="G9" s="88">
        <f>'Premissas do Valuation'!G11</f>
        <v>6.425921943151941E-2</v>
      </c>
      <c r="H9" s="88">
        <f>'Premissas do Valuation'!H11</f>
        <v>6.425921943151941E-2</v>
      </c>
      <c r="I9" s="88">
        <f>'Premissas do Valuation'!I11</f>
        <v>6.425921943151941E-2</v>
      </c>
      <c r="J9" s="88">
        <f>'Premissas do Valuation'!J11</f>
        <v>6.425921943151941E-2</v>
      </c>
      <c r="K9" s="88">
        <f>'Premissas do Valuation'!K11</f>
        <v>6.425921943151941E-2</v>
      </c>
      <c r="L9" s="88">
        <f>'Premissas do Valuation'!L11</f>
        <v>6.425921943151941E-2</v>
      </c>
      <c r="M9" s="88">
        <f>'Premissas do Valuation'!M11</f>
        <v>6.425921943151941E-2</v>
      </c>
    </row>
    <row r="10" spans="1:13">
      <c r="A10" t="s">
        <v>334</v>
      </c>
      <c r="B10" s="88">
        <f>'Premissas do Valuation'!B12</f>
        <v>5.1463635887600098E-2</v>
      </c>
      <c r="C10" s="88">
        <f>'Premissas do Valuation'!C12</f>
        <v>5.1463635887600098E-2</v>
      </c>
      <c r="D10" s="88">
        <f>'Premissas do Valuation'!D12</f>
        <v>5.1463635887600098E-2</v>
      </c>
      <c r="E10" s="88">
        <f>'Premissas do Valuation'!E12</f>
        <v>5.1463635887600098E-2</v>
      </c>
      <c r="F10" s="88">
        <f>'Premissas do Valuation'!F12</f>
        <v>5.1463635887600098E-2</v>
      </c>
      <c r="G10" s="88">
        <f>'Premissas do Valuation'!G12</f>
        <v>5.1463635887600098E-2</v>
      </c>
      <c r="H10" s="88">
        <f>'Premissas do Valuation'!H12</f>
        <v>5.1463635887600098E-2</v>
      </c>
      <c r="I10" s="88">
        <f>'Premissas do Valuation'!I12</f>
        <v>5.1463635887600098E-2</v>
      </c>
      <c r="J10" s="88">
        <f>'Premissas do Valuation'!J12</f>
        <v>5.1463635887600098E-2</v>
      </c>
      <c r="K10" s="88">
        <f>'Premissas do Valuation'!K12</f>
        <v>5.1463635887600098E-2</v>
      </c>
      <c r="L10" s="88">
        <f>'Premissas do Valuation'!L12</f>
        <v>5.1463635887600098E-2</v>
      </c>
      <c r="M10" s="88">
        <f>'Premissas do Valuation'!M12</f>
        <v>5.1463635887600098E-2</v>
      </c>
    </row>
    <row r="11" spans="1:13">
      <c r="A11" t="s">
        <v>335</v>
      </c>
      <c r="B11" s="88">
        <f>'Premissas do Valuation'!B13</f>
        <v>2.7053906249999999E-2</v>
      </c>
      <c r="C11" s="88">
        <f>'Premissas do Valuation'!C13</f>
        <v>2.7053906249999999E-2</v>
      </c>
      <c r="D11" s="88">
        <f>'Premissas do Valuation'!D13</f>
        <v>2.7053906249999999E-2</v>
      </c>
      <c r="E11" s="88">
        <f>'Premissas do Valuation'!E13</f>
        <v>2.7053906249999999E-2</v>
      </c>
      <c r="F11" s="88">
        <f>'Premissas do Valuation'!F13</f>
        <v>2.7053906249999999E-2</v>
      </c>
      <c r="G11" s="88">
        <f>'Premissas do Valuation'!G13</f>
        <v>2.7053906249999999E-2</v>
      </c>
      <c r="H11" s="88">
        <f>'Premissas do Valuation'!H13</f>
        <v>2.7053906249999999E-2</v>
      </c>
      <c r="I11" s="88">
        <f>'Premissas do Valuation'!I13</f>
        <v>2.7053906249999999E-2</v>
      </c>
      <c r="J11" s="88">
        <f>'Premissas do Valuation'!J13</f>
        <v>2.7053906249999999E-2</v>
      </c>
      <c r="K11" s="88">
        <f>'Premissas do Valuation'!K13</f>
        <v>2.7053906249999999E-2</v>
      </c>
      <c r="L11" s="88">
        <f>'Premissas do Valuation'!L13</f>
        <v>2.7053906249999999E-2</v>
      </c>
      <c r="M11" s="88">
        <f>'Premissas do Valuation'!M13</f>
        <v>2.7053906249999999E-2</v>
      </c>
    </row>
    <row r="12" spans="1:13">
      <c r="A12" t="s">
        <v>339</v>
      </c>
      <c r="B12" s="88">
        <f>'Premissas do Valuation'!B14</f>
        <v>0</v>
      </c>
      <c r="C12" s="88">
        <f>'Premissas do Valuation'!C14</f>
        <v>0</v>
      </c>
      <c r="D12" s="88">
        <f>'Premissas do Valuation'!D14</f>
        <v>0</v>
      </c>
      <c r="E12" s="88">
        <f>'Premissas do Valuation'!E14</f>
        <v>0</v>
      </c>
      <c r="F12" s="88">
        <f>'Premissas do Valuation'!F14</f>
        <v>0</v>
      </c>
      <c r="G12" s="88">
        <f>'Premissas do Valuation'!G14</f>
        <v>0</v>
      </c>
      <c r="H12" s="88">
        <f>'Premissas do Valuation'!H14</f>
        <v>0</v>
      </c>
      <c r="I12" s="88">
        <f>'Premissas do Valuation'!I14</f>
        <v>0</v>
      </c>
      <c r="J12" s="88">
        <f>'Premissas do Valuation'!J14</f>
        <v>0</v>
      </c>
      <c r="K12" s="88">
        <f>'Premissas do Valuation'!K14</f>
        <v>0</v>
      </c>
      <c r="L12" s="88">
        <f>'Premissas do Valuation'!L14</f>
        <v>0</v>
      </c>
      <c r="M12" s="88">
        <f>'Premissas do Valuation'!M14</f>
        <v>0</v>
      </c>
    </row>
    <row r="13" spans="1:13">
      <c r="A13" s="141" t="s">
        <v>341</v>
      </c>
      <c r="B13" s="142">
        <f>B10+B8*B9+B11+'Premissas do Valuation'!B5-'Premissas do Valuation'!B6+'Custo de Capital'!B12</f>
        <v>0.16837451504178219</v>
      </c>
      <c r="C13" s="142">
        <f>C10+C8*C9+C11+'Premissas do Valuation'!C5-'Premissas do Valuation'!C6+'Custo de Capital'!C12</f>
        <v>0.15474753786439574</v>
      </c>
      <c r="D13" s="142">
        <f>D10+D8*D9+D11+'Premissas do Valuation'!D5-'Premissas do Valuation'!D6+'Custo de Capital'!D12</f>
        <v>0.15974753786439574</v>
      </c>
      <c r="E13" s="142">
        <f>E10+E8*E9+E11+'Premissas do Valuation'!E5-'Premissas do Valuation'!E6+'Custo de Capital'!E12</f>
        <v>0.15974753786439574</v>
      </c>
      <c r="F13" s="142">
        <f>F10+F8*F9+F11+'Premissas do Valuation'!F5-'Premissas do Valuation'!F6+'Custo de Capital'!F12</f>
        <v>0.15974753786439574</v>
      </c>
      <c r="G13" s="142">
        <f>G10+G8*G9+G11+'Premissas do Valuation'!G5-'Premissas do Valuation'!G6+'Custo de Capital'!G12</f>
        <v>0.15974753786439574</v>
      </c>
      <c r="H13" s="142">
        <f>H10+H8*H9+H11+'Premissas do Valuation'!H5-'Premissas do Valuation'!H6+'Custo de Capital'!H12</f>
        <v>0.15974753786439574</v>
      </c>
      <c r="I13" s="142">
        <f>I10+I8*I9+I11+'Premissas do Valuation'!I5-'Premissas do Valuation'!I6+'Custo de Capital'!I12</f>
        <v>0.15974753786439574</v>
      </c>
      <c r="J13" s="142">
        <f>J10+J8*J9+J11+'Premissas do Valuation'!J5-'Premissas do Valuation'!J6+'Custo de Capital'!J12</f>
        <v>0.15974753786439574</v>
      </c>
      <c r="K13" s="142">
        <f>K10+K8*K9+K11+'Premissas do Valuation'!K5-'Premissas do Valuation'!K6+'Custo de Capital'!K12</f>
        <v>0.15974753786439574</v>
      </c>
      <c r="L13" s="142">
        <f>L10+L8*L9+L11+'Premissas do Valuation'!L5-'Premissas do Valuation'!L6+'Custo de Capital'!L12</f>
        <v>0.15974753786439574</v>
      </c>
      <c r="M13" s="142">
        <f>M10+M8*M9+M11+'Premissas do Valuation'!M5-'Premissas do Valuation'!M6+'Custo de Capital'!M12</f>
        <v>0.15974753786439574</v>
      </c>
    </row>
    <row r="16" spans="1:13">
      <c r="A16" s="1" t="s">
        <v>369</v>
      </c>
      <c r="B16" s="28">
        <f ca="1">YEAR(TODAY())</f>
        <v>2020</v>
      </c>
      <c r="C16" s="28">
        <f ca="1">B16+1</f>
        <v>2021</v>
      </c>
      <c r="D16" s="28">
        <f t="shared" ref="D16:L16" ca="1" si="4">C16+1</f>
        <v>2022</v>
      </c>
      <c r="E16" s="28">
        <f t="shared" ca="1" si="4"/>
        <v>2023</v>
      </c>
      <c r="F16" s="28">
        <f t="shared" ca="1" si="4"/>
        <v>2024</v>
      </c>
      <c r="G16" s="28">
        <f t="shared" ca="1" si="4"/>
        <v>2025</v>
      </c>
      <c r="H16" s="28">
        <f t="shared" ca="1" si="4"/>
        <v>2026</v>
      </c>
      <c r="I16" s="28">
        <f t="shared" ca="1" si="4"/>
        <v>2027</v>
      </c>
      <c r="J16" s="28">
        <f t="shared" ca="1" si="4"/>
        <v>2028</v>
      </c>
      <c r="K16" s="28">
        <f t="shared" ca="1" si="4"/>
        <v>2029</v>
      </c>
      <c r="L16" s="28">
        <f t="shared" ca="1" si="4"/>
        <v>2030</v>
      </c>
      <c r="M16" s="28" t="str">
        <f>M3</f>
        <v>Perpetudade</v>
      </c>
    </row>
    <row r="17" spans="1:13">
      <c r="A17" t="s">
        <v>370</v>
      </c>
      <c r="B17" s="23">
        <f>'Análise de Indicadores'!B38/'Análise de Indicadores'!G20</f>
        <v>4.3902240056103922E-2</v>
      </c>
      <c r="C17" s="23">
        <f>B17</f>
        <v>4.3902240056103922E-2</v>
      </c>
      <c r="D17" s="23">
        <f t="shared" ref="D17:L17" si="5">C17</f>
        <v>4.3902240056103922E-2</v>
      </c>
      <c r="E17" s="23">
        <f t="shared" si="5"/>
        <v>4.3902240056103922E-2</v>
      </c>
      <c r="F17" s="23">
        <f t="shared" si="5"/>
        <v>4.3902240056103922E-2</v>
      </c>
      <c r="G17" s="23">
        <f t="shared" si="5"/>
        <v>4.3902240056103922E-2</v>
      </c>
      <c r="H17" s="23">
        <f t="shared" si="5"/>
        <v>4.3902240056103922E-2</v>
      </c>
      <c r="I17" s="23">
        <f t="shared" si="5"/>
        <v>4.3902240056103922E-2</v>
      </c>
      <c r="J17" s="23">
        <f t="shared" si="5"/>
        <v>4.3902240056103922E-2</v>
      </c>
      <c r="K17" s="23">
        <f t="shared" si="5"/>
        <v>4.3902240056103922E-2</v>
      </c>
      <c r="L17" s="23">
        <f t="shared" si="5"/>
        <v>4.3902240056103922E-2</v>
      </c>
      <c r="M17" s="23">
        <f t="shared" ref="M17" si="6">L17</f>
        <v>4.3902240056103922E-2</v>
      </c>
    </row>
    <row r="18" spans="1:13">
      <c r="A18" t="s">
        <v>371</v>
      </c>
      <c r="B18" s="23">
        <f>VLOOKUP(B2,Table14[[Industry Name]:[Cost of Debt]],7,FALSE)</f>
        <v>3.6699999999999997E-2</v>
      </c>
      <c r="C18" s="23">
        <f>B18</f>
        <v>3.6699999999999997E-2</v>
      </c>
      <c r="D18" s="23">
        <f t="shared" ref="D18:L18" si="7">C18</f>
        <v>3.6699999999999997E-2</v>
      </c>
      <c r="E18" s="23">
        <f t="shared" si="7"/>
        <v>3.6699999999999997E-2</v>
      </c>
      <c r="F18" s="23">
        <f t="shared" si="7"/>
        <v>3.6699999999999997E-2</v>
      </c>
      <c r="G18" s="23">
        <f t="shared" si="7"/>
        <v>3.6699999999999997E-2</v>
      </c>
      <c r="H18" s="23">
        <f t="shared" si="7"/>
        <v>3.6699999999999997E-2</v>
      </c>
      <c r="I18" s="23">
        <f t="shared" si="7"/>
        <v>3.6699999999999997E-2</v>
      </c>
      <c r="J18" s="23">
        <f t="shared" si="7"/>
        <v>3.6699999999999997E-2</v>
      </c>
      <c r="K18" s="23">
        <f t="shared" si="7"/>
        <v>3.6699999999999997E-2</v>
      </c>
      <c r="L18" s="23">
        <f t="shared" si="7"/>
        <v>3.6699999999999997E-2</v>
      </c>
      <c r="M18" s="23">
        <f t="shared" ref="M18" si="8">L18</f>
        <v>3.6699999999999997E-2</v>
      </c>
    </row>
    <row r="19" spans="1:13">
      <c r="A19" s="1" t="s">
        <v>372</v>
      </c>
      <c r="B19" s="88">
        <f>B18+'Premissas do Valuation'!B5-'Premissas do Valuation'!B6+'Premissas do Valuation'!B13</f>
        <v>7.7753906249999991E-2</v>
      </c>
      <c r="C19" s="88">
        <f>C18+'Premissas do Valuation'!C5-'Premissas do Valuation'!C6+'Premissas do Valuation'!C13</f>
        <v>7.3753906249999987E-2</v>
      </c>
      <c r="D19" s="88">
        <f>D18+'Premissas do Valuation'!D5-'Premissas do Valuation'!D6+'Premissas do Valuation'!D13</f>
        <v>7.8753906249999991E-2</v>
      </c>
      <c r="E19" s="88">
        <f>E18+'Premissas do Valuation'!E5-'Premissas do Valuation'!E6+'Premissas do Valuation'!E13</f>
        <v>7.8753906249999991E-2</v>
      </c>
      <c r="F19" s="88">
        <f>F18+'Premissas do Valuation'!F5-'Premissas do Valuation'!F6+'Premissas do Valuation'!F13</f>
        <v>7.8753906249999991E-2</v>
      </c>
      <c r="G19" s="88">
        <f>G18+'Premissas do Valuation'!G5-'Premissas do Valuation'!G6+'Premissas do Valuation'!G13</f>
        <v>7.8753906249999991E-2</v>
      </c>
      <c r="H19" s="88">
        <f>H18+'Premissas do Valuation'!H5-'Premissas do Valuation'!H6+'Premissas do Valuation'!H13</f>
        <v>7.8753906249999991E-2</v>
      </c>
      <c r="I19" s="88">
        <f>I18+'Premissas do Valuation'!I5-'Premissas do Valuation'!I6+'Premissas do Valuation'!I13</f>
        <v>7.8753906249999991E-2</v>
      </c>
      <c r="J19" s="88">
        <f>J18+'Premissas do Valuation'!J5-'Premissas do Valuation'!J6+'Premissas do Valuation'!J13</f>
        <v>7.8753906249999991E-2</v>
      </c>
      <c r="K19" s="88">
        <f>K18+'Premissas do Valuation'!K5-'Premissas do Valuation'!K6+'Premissas do Valuation'!K13</f>
        <v>7.8753906249999991E-2</v>
      </c>
      <c r="L19" s="88">
        <f>L18+'Premissas do Valuation'!L5-'Premissas do Valuation'!L6+'Premissas do Valuation'!L13</f>
        <v>7.8753906249999991E-2</v>
      </c>
      <c r="M19" s="88">
        <f>M18+'Premissas do Valuation'!M5-'Premissas do Valuation'!M6+'Premissas do Valuation'!M13</f>
        <v>7.8753906249999991E-2</v>
      </c>
    </row>
    <row r="20" spans="1:13">
      <c r="A20" s="177" t="s">
        <v>373</v>
      </c>
      <c r="B20" s="176">
        <f>B19*(1-'Premissas do Valuation'!B7)</f>
        <v>5.1317578124999985E-2</v>
      </c>
      <c r="C20" s="176">
        <f>C19*(1-'Premissas do Valuation'!C7)</f>
        <v>4.8677578124999989E-2</v>
      </c>
      <c r="D20" s="176">
        <f>D19*(1-'Premissas do Valuation'!D7)</f>
        <v>5.1977578124999986E-2</v>
      </c>
      <c r="E20" s="176">
        <f>E19*(1-'Premissas do Valuation'!E7)</f>
        <v>5.1977578124999986E-2</v>
      </c>
      <c r="F20" s="176">
        <f>F19*(1-'Premissas do Valuation'!F7)</f>
        <v>5.1977578124999986E-2</v>
      </c>
      <c r="G20" s="176">
        <f>G19*(1-'Premissas do Valuation'!G7)</f>
        <v>5.1977578124999986E-2</v>
      </c>
      <c r="H20" s="176">
        <f>H19*(1-'Premissas do Valuation'!H7)</f>
        <v>5.1977578124999986E-2</v>
      </c>
      <c r="I20" s="176">
        <f>I19*(1-'Premissas do Valuation'!I7)</f>
        <v>5.1977578124999986E-2</v>
      </c>
      <c r="J20" s="176">
        <f>J19*(1-'Premissas do Valuation'!J7)</f>
        <v>5.1977578124999986E-2</v>
      </c>
      <c r="K20" s="176">
        <f>K19*(1-'Premissas do Valuation'!K7)</f>
        <v>5.1977578124999986E-2</v>
      </c>
      <c r="L20" s="176">
        <f>L19*(1-'Premissas do Valuation'!L7)</f>
        <v>5.1977578124999986E-2</v>
      </c>
      <c r="M20" s="176">
        <f>M19*(1-'Premissas do Valuation'!M7)</f>
        <v>5.1977578124999986E-2</v>
      </c>
    </row>
    <row r="23" spans="1:13">
      <c r="A23" s="28" t="s">
        <v>374</v>
      </c>
      <c r="B23" s="28">
        <f ca="1">YEAR(TODAY())</f>
        <v>2020</v>
      </c>
      <c r="C23" s="28">
        <f ca="1">B23+1</f>
        <v>2021</v>
      </c>
      <c r="D23" s="28">
        <f t="shared" ref="D23:L23" ca="1" si="9">C23+1</f>
        <v>2022</v>
      </c>
      <c r="E23" s="28">
        <f t="shared" ca="1" si="9"/>
        <v>2023</v>
      </c>
      <c r="F23" s="28">
        <f t="shared" ca="1" si="9"/>
        <v>2024</v>
      </c>
      <c r="G23" s="28">
        <f t="shared" ca="1" si="9"/>
        <v>2025</v>
      </c>
      <c r="H23" s="28">
        <f t="shared" ca="1" si="9"/>
        <v>2026</v>
      </c>
      <c r="I23" s="28">
        <f t="shared" ca="1" si="9"/>
        <v>2027</v>
      </c>
      <c r="J23" s="28">
        <f t="shared" ca="1" si="9"/>
        <v>2028</v>
      </c>
      <c r="K23" s="28">
        <f t="shared" ca="1" si="9"/>
        <v>2029</v>
      </c>
      <c r="L23" s="28">
        <f t="shared" ca="1" si="9"/>
        <v>2030</v>
      </c>
      <c r="M23" s="28" t="str">
        <f>M16</f>
        <v>Perpetudade</v>
      </c>
    </row>
    <row r="24" spans="1:13">
      <c r="A24" t="s">
        <v>375</v>
      </c>
      <c r="B24" s="23">
        <f>B13</f>
        <v>0.16837451504178219</v>
      </c>
      <c r="C24" s="23">
        <f t="shared" ref="C24:L24" si="10">C13</f>
        <v>0.15474753786439574</v>
      </c>
      <c r="D24" s="23">
        <f t="shared" si="10"/>
        <v>0.15974753786439574</v>
      </c>
      <c r="E24" s="23">
        <f t="shared" si="10"/>
        <v>0.15974753786439574</v>
      </c>
      <c r="F24" s="23">
        <f t="shared" si="10"/>
        <v>0.15974753786439574</v>
      </c>
      <c r="G24" s="23">
        <f t="shared" si="10"/>
        <v>0.15974753786439574</v>
      </c>
      <c r="H24" s="23">
        <f t="shared" si="10"/>
        <v>0.15974753786439574</v>
      </c>
      <c r="I24" s="23">
        <f t="shared" si="10"/>
        <v>0.15974753786439574</v>
      </c>
      <c r="J24" s="23">
        <f t="shared" si="10"/>
        <v>0.15974753786439574</v>
      </c>
      <c r="K24" s="23">
        <f t="shared" si="10"/>
        <v>0.15974753786439574</v>
      </c>
      <c r="L24" s="23">
        <f t="shared" si="10"/>
        <v>0.15974753786439574</v>
      </c>
      <c r="M24" s="23">
        <f t="shared" ref="M24" si="11">M13</f>
        <v>0.15974753786439574</v>
      </c>
    </row>
    <row r="25" spans="1:13">
      <c r="A25" t="s">
        <v>376</v>
      </c>
      <c r="B25" s="23">
        <f>B20</f>
        <v>5.1317578124999985E-2</v>
      </c>
      <c r="C25" s="23">
        <f t="shared" ref="C25:L25" si="12">C20</f>
        <v>4.8677578124999989E-2</v>
      </c>
      <c r="D25" s="23">
        <f t="shared" si="12"/>
        <v>5.1977578124999986E-2</v>
      </c>
      <c r="E25" s="23">
        <f t="shared" si="12"/>
        <v>5.1977578124999986E-2</v>
      </c>
      <c r="F25" s="23">
        <f t="shared" si="12"/>
        <v>5.1977578124999986E-2</v>
      </c>
      <c r="G25" s="23">
        <f t="shared" si="12"/>
        <v>5.1977578124999986E-2</v>
      </c>
      <c r="H25" s="23">
        <f t="shared" si="12"/>
        <v>5.1977578124999986E-2</v>
      </c>
      <c r="I25" s="23">
        <f t="shared" si="12"/>
        <v>5.1977578124999986E-2</v>
      </c>
      <c r="J25" s="23">
        <f t="shared" si="12"/>
        <v>5.1977578124999986E-2</v>
      </c>
      <c r="K25" s="23">
        <f t="shared" si="12"/>
        <v>5.1977578124999986E-2</v>
      </c>
      <c r="L25" s="23">
        <f t="shared" si="12"/>
        <v>5.1977578124999986E-2</v>
      </c>
      <c r="M25" s="23">
        <f t="shared" ref="M25" si="13">M20</f>
        <v>5.1977578124999986E-2</v>
      </c>
    </row>
    <row r="26" spans="1:13">
      <c r="A26" t="s">
        <v>377</v>
      </c>
      <c r="B26" s="23">
        <f>'Premissas do Valuation'!B22</f>
        <v>0.41558222106249715</v>
      </c>
      <c r="C26" s="23">
        <f>'Premissas do Valuation'!C22</f>
        <v>0.3</v>
      </c>
      <c r="D26" s="23">
        <f>'Premissas do Valuation'!D22</f>
        <v>0.3</v>
      </c>
      <c r="E26" s="23">
        <f>'Premissas do Valuation'!E22</f>
        <v>0.3</v>
      </c>
      <c r="F26" s="23">
        <f>'Premissas do Valuation'!F22</f>
        <v>0.3</v>
      </c>
      <c r="G26" s="23">
        <f>'Premissas do Valuation'!G22</f>
        <v>0.3</v>
      </c>
      <c r="H26" s="23">
        <f>'Premissas do Valuation'!H22</f>
        <v>0.3</v>
      </c>
      <c r="I26" s="23">
        <f>'Premissas do Valuation'!I22</f>
        <v>0.3</v>
      </c>
      <c r="J26" s="23">
        <f>'Premissas do Valuation'!J22</f>
        <v>0.3</v>
      </c>
      <c r="K26" s="23">
        <f>'Premissas do Valuation'!K22</f>
        <v>0.3</v>
      </c>
      <c r="L26" s="23">
        <f>'Premissas do Valuation'!L22</f>
        <v>0.3</v>
      </c>
      <c r="M26" s="23">
        <f>'Premissas do Valuation'!M22</f>
        <v>0.3</v>
      </c>
    </row>
    <row r="27" spans="1:13">
      <c r="A27" t="s">
        <v>378</v>
      </c>
      <c r="B27" s="23">
        <f>'Premissas do Valuation'!B23</f>
        <v>0.58441777893750291</v>
      </c>
      <c r="C27" s="23">
        <f>'Premissas do Valuation'!C23</f>
        <v>0.7</v>
      </c>
      <c r="D27" s="23">
        <f>'Premissas do Valuation'!D23</f>
        <v>0.7</v>
      </c>
      <c r="E27" s="23">
        <f>'Premissas do Valuation'!E23</f>
        <v>0.7</v>
      </c>
      <c r="F27" s="23">
        <f>'Premissas do Valuation'!F23</f>
        <v>0.7</v>
      </c>
      <c r="G27" s="23">
        <f>'Premissas do Valuation'!G23</f>
        <v>0.7</v>
      </c>
      <c r="H27" s="23">
        <f>'Premissas do Valuation'!H23</f>
        <v>0.7</v>
      </c>
      <c r="I27" s="23">
        <f>'Premissas do Valuation'!I23</f>
        <v>0.7</v>
      </c>
      <c r="J27" s="23">
        <f>'Premissas do Valuation'!J23</f>
        <v>0.7</v>
      </c>
      <c r="K27" s="23">
        <f>'Premissas do Valuation'!K23</f>
        <v>0.7</v>
      </c>
      <c r="L27" s="23">
        <f>'Premissas do Valuation'!L23</f>
        <v>0.7</v>
      </c>
      <c r="M27" s="23">
        <f>'Premissas do Valuation'!M23</f>
        <v>0.7</v>
      </c>
    </row>
    <row r="28" spans="1:13">
      <c r="A28" s="178" t="s">
        <v>379</v>
      </c>
      <c r="B28" s="179">
        <f>B24*B27+B25*B26</f>
        <v>0.11972773320713323</v>
      </c>
      <c r="C28" s="179">
        <f t="shared" ref="C28:M28" si="14">C24*C27+C25*C26</f>
        <v>0.12292654994257701</v>
      </c>
      <c r="D28" s="179">
        <f t="shared" si="14"/>
        <v>0.12741654994257701</v>
      </c>
      <c r="E28" s="179">
        <f t="shared" si="14"/>
        <v>0.12741654994257701</v>
      </c>
      <c r="F28" s="179">
        <f t="shared" si="14"/>
        <v>0.12741654994257701</v>
      </c>
      <c r="G28" s="179">
        <f t="shared" si="14"/>
        <v>0.12741654994257701</v>
      </c>
      <c r="H28" s="179">
        <f t="shared" si="14"/>
        <v>0.12741654994257701</v>
      </c>
      <c r="I28" s="179">
        <f t="shared" si="14"/>
        <v>0.12741654994257701</v>
      </c>
      <c r="J28" s="179">
        <f t="shared" si="14"/>
        <v>0.12741654994257701</v>
      </c>
      <c r="K28" s="179">
        <f t="shared" si="14"/>
        <v>0.12741654994257701</v>
      </c>
      <c r="L28" s="179">
        <f t="shared" si="14"/>
        <v>0.12741654994257701</v>
      </c>
      <c r="M28" s="179">
        <f t="shared" si="14"/>
        <v>0.12741654994257701</v>
      </c>
    </row>
  </sheetData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'Beta Desalavancado'!$A$11:$A$106</xm:f>
          </x14:formula1>
          <xm:sqref>B2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6"/>
  <sheetViews>
    <sheetView workbookViewId="0">
      <selection activeCell="F96" sqref="F96"/>
    </sheetView>
  </sheetViews>
  <sheetFormatPr defaultColWidth="11" defaultRowHeight="15.75"/>
  <cols>
    <col min="1" max="1" width="29.375" customWidth="1"/>
    <col min="2" max="2" width="17.625" customWidth="1"/>
    <col min="3" max="3" width="11.125" customWidth="1"/>
    <col min="4" max="4" width="13.875" customWidth="1"/>
    <col min="5" max="5" width="11" customWidth="1"/>
    <col min="6" max="6" width="16.625" customWidth="1"/>
    <col min="7" max="7" width="17.625" customWidth="1"/>
    <col min="8" max="8" width="32.5" customWidth="1"/>
    <col min="9" max="9" width="11.625" customWidth="1"/>
    <col min="10" max="10" width="27.875" customWidth="1"/>
    <col min="11" max="11" width="18.5" customWidth="1"/>
    <col min="17" max="17" width="12.375" style="50" customWidth="1"/>
    <col min="257" max="257" width="29.375" customWidth="1"/>
    <col min="258" max="258" width="17.625" customWidth="1"/>
    <col min="259" max="259" width="11.125" customWidth="1"/>
    <col min="260" max="260" width="13.875" customWidth="1"/>
    <col min="261" max="261" width="11" customWidth="1"/>
    <col min="262" max="262" width="16.625" customWidth="1"/>
    <col min="263" max="263" width="17.625" customWidth="1"/>
    <col min="264" max="264" width="32.5" customWidth="1"/>
    <col min="265" max="265" width="11.625" customWidth="1"/>
    <col min="266" max="266" width="27.875" customWidth="1"/>
    <col min="267" max="267" width="18.5" customWidth="1"/>
    <col min="273" max="273" width="12.375" customWidth="1"/>
    <col min="513" max="513" width="29.375" customWidth="1"/>
    <col min="514" max="514" width="17.625" customWidth="1"/>
    <col min="515" max="515" width="11.125" customWidth="1"/>
    <col min="516" max="516" width="13.875" customWidth="1"/>
    <col min="517" max="517" width="11" customWidth="1"/>
    <col min="518" max="518" width="16.625" customWidth="1"/>
    <col min="519" max="519" width="17.625" customWidth="1"/>
    <col min="520" max="520" width="32.5" customWidth="1"/>
    <col min="521" max="521" width="11.625" customWidth="1"/>
    <col min="522" max="522" width="27.875" customWidth="1"/>
    <col min="523" max="523" width="18.5" customWidth="1"/>
    <col min="529" max="529" width="12.375" customWidth="1"/>
    <col min="769" max="769" width="29.375" customWidth="1"/>
    <col min="770" max="770" width="17.625" customWidth="1"/>
    <col min="771" max="771" width="11.125" customWidth="1"/>
    <col min="772" max="772" width="13.875" customWidth="1"/>
    <col min="773" max="773" width="11" customWidth="1"/>
    <col min="774" max="774" width="16.625" customWidth="1"/>
    <col min="775" max="775" width="17.625" customWidth="1"/>
    <col min="776" max="776" width="32.5" customWidth="1"/>
    <col min="777" max="777" width="11.625" customWidth="1"/>
    <col min="778" max="778" width="27.875" customWidth="1"/>
    <col min="779" max="779" width="18.5" customWidth="1"/>
    <col min="785" max="785" width="12.375" customWidth="1"/>
    <col min="1025" max="1025" width="29.375" customWidth="1"/>
    <col min="1026" max="1026" width="17.625" customWidth="1"/>
    <col min="1027" max="1027" width="11.125" customWidth="1"/>
    <col min="1028" max="1028" width="13.875" customWidth="1"/>
    <col min="1029" max="1029" width="11" customWidth="1"/>
    <col min="1030" max="1030" width="16.625" customWidth="1"/>
    <col min="1031" max="1031" width="17.625" customWidth="1"/>
    <col min="1032" max="1032" width="32.5" customWidth="1"/>
    <col min="1033" max="1033" width="11.625" customWidth="1"/>
    <col min="1034" max="1034" width="27.875" customWidth="1"/>
    <col min="1035" max="1035" width="18.5" customWidth="1"/>
    <col min="1041" max="1041" width="12.375" customWidth="1"/>
    <col min="1281" max="1281" width="29.375" customWidth="1"/>
    <col min="1282" max="1282" width="17.625" customWidth="1"/>
    <col min="1283" max="1283" width="11.125" customWidth="1"/>
    <col min="1284" max="1284" width="13.875" customWidth="1"/>
    <col min="1285" max="1285" width="11" customWidth="1"/>
    <col min="1286" max="1286" width="16.625" customWidth="1"/>
    <col min="1287" max="1287" width="17.625" customWidth="1"/>
    <col min="1288" max="1288" width="32.5" customWidth="1"/>
    <col min="1289" max="1289" width="11.625" customWidth="1"/>
    <col min="1290" max="1290" width="27.875" customWidth="1"/>
    <col min="1291" max="1291" width="18.5" customWidth="1"/>
    <col min="1297" max="1297" width="12.375" customWidth="1"/>
    <col min="1537" max="1537" width="29.375" customWidth="1"/>
    <col min="1538" max="1538" width="17.625" customWidth="1"/>
    <col min="1539" max="1539" width="11.125" customWidth="1"/>
    <col min="1540" max="1540" width="13.875" customWidth="1"/>
    <col min="1541" max="1541" width="11" customWidth="1"/>
    <col min="1542" max="1542" width="16.625" customWidth="1"/>
    <col min="1543" max="1543" width="17.625" customWidth="1"/>
    <col min="1544" max="1544" width="32.5" customWidth="1"/>
    <col min="1545" max="1545" width="11.625" customWidth="1"/>
    <col min="1546" max="1546" width="27.875" customWidth="1"/>
    <col min="1547" max="1547" width="18.5" customWidth="1"/>
    <col min="1553" max="1553" width="12.375" customWidth="1"/>
    <col min="1793" max="1793" width="29.375" customWidth="1"/>
    <col min="1794" max="1794" width="17.625" customWidth="1"/>
    <col min="1795" max="1795" width="11.125" customWidth="1"/>
    <col min="1796" max="1796" width="13.875" customWidth="1"/>
    <col min="1797" max="1797" width="11" customWidth="1"/>
    <col min="1798" max="1798" width="16.625" customWidth="1"/>
    <col min="1799" max="1799" width="17.625" customWidth="1"/>
    <col min="1800" max="1800" width="32.5" customWidth="1"/>
    <col min="1801" max="1801" width="11.625" customWidth="1"/>
    <col min="1802" max="1802" width="27.875" customWidth="1"/>
    <col min="1803" max="1803" width="18.5" customWidth="1"/>
    <col min="1809" max="1809" width="12.375" customWidth="1"/>
    <col min="2049" max="2049" width="29.375" customWidth="1"/>
    <col min="2050" max="2050" width="17.625" customWidth="1"/>
    <col min="2051" max="2051" width="11.125" customWidth="1"/>
    <col min="2052" max="2052" width="13.875" customWidth="1"/>
    <col min="2053" max="2053" width="11" customWidth="1"/>
    <col min="2054" max="2054" width="16.625" customWidth="1"/>
    <col min="2055" max="2055" width="17.625" customWidth="1"/>
    <col min="2056" max="2056" width="32.5" customWidth="1"/>
    <col min="2057" max="2057" width="11.625" customWidth="1"/>
    <col min="2058" max="2058" width="27.875" customWidth="1"/>
    <col min="2059" max="2059" width="18.5" customWidth="1"/>
    <col min="2065" max="2065" width="12.375" customWidth="1"/>
    <col min="2305" max="2305" width="29.375" customWidth="1"/>
    <col min="2306" max="2306" width="17.625" customWidth="1"/>
    <col min="2307" max="2307" width="11.125" customWidth="1"/>
    <col min="2308" max="2308" width="13.875" customWidth="1"/>
    <col min="2309" max="2309" width="11" customWidth="1"/>
    <col min="2310" max="2310" width="16.625" customWidth="1"/>
    <col min="2311" max="2311" width="17.625" customWidth="1"/>
    <col min="2312" max="2312" width="32.5" customWidth="1"/>
    <col min="2313" max="2313" width="11.625" customWidth="1"/>
    <col min="2314" max="2314" width="27.875" customWidth="1"/>
    <col min="2315" max="2315" width="18.5" customWidth="1"/>
    <col min="2321" max="2321" width="12.375" customWidth="1"/>
    <col min="2561" max="2561" width="29.375" customWidth="1"/>
    <col min="2562" max="2562" width="17.625" customWidth="1"/>
    <col min="2563" max="2563" width="11.125" customWidth="1"/>
    <col min="2564" max="2564" width="13.875" customWidth="1"/>
    <col min="2565" max="2565" width="11" customWidth="1"/>
    <col min="2566" max="2566" width="16.625" customWidth="1"/>
    <col min="2567" max="2567" width="17.625" customWidth="1"/>
    <col min="2568" max="2568" width="32.5" customWidth="1"/>
    <col min="2569" max="2569" width="11.625" customWidth="1"/>
    <col min="2570" max="2570" width="27.875" customWidth="1"/>
    <col min="2571" max="2571" width="18.5" customWidth="1"/>
    <col min="2577" max="2577" width="12.375" customWidth="1"/>
    <col min="2817" max="2817" width="29.375" customWidth="1"/>
    <col min="2818" max="2818" width="17.625" customWidth="1"/>
    <col min="2819" max="2819" width="11.125" customWidth="1"/>
    <col min="2820" max="2820" width="13.875" customWidth="1"/>
    <col min="2821" max="2821" width="11" customWidth="1"/>
    <col min="2822" max="2822" width="16.625" customWidth="1"/>
    <col min="2823" max="2823" width="17.625" customWidth="1"/>
    <col min="2824" max="2824" width="32.5" customWidth="1"/>
    <col min="2825" max="2825" width="11.625" customWidth="1"/>
    <col min="2826" max="2826" width="27.875" customWidth="1"/>
    <col min="2827" max="2827" width="18.5" customWidth="1"/>
    <col min="2833" max="2833" width="12.375" customWidth="1"/>
    <col min="3073" max="3073" width="29.375" customWidth="1"/>
    <col min="3074" max="3074" width="17.625" customWidth="1"/>
    <col min="3075" max="3075" width="11.125" customWidth="1"/>
    <col min="3076" max="3076" width="13.875" customWidth="1"/>
    <col min="3077" max="3077" width="11" customWidth="1"/>
    <col min="3078" max="3078" width="16.625" customWidth="1"/>
    <col min="3079" max="3079" width="17.625" customWidth="1"/>
    <col min="3080" max="3080" width="32.5" customWidth="1"/>
    <col min="3081" max="3081" width="11.625" customWidth="1"/>
    <col min="3082" max="3082" width="27.875" customWidth="1"/>
    <col min="3083" max="3083" width="18.5" customWidth="1"/>
    <col min="3089" max="3089" width="12.375" customWidth="1"/>
    <col min="3329" max="3329" width="29.375" customWidth="1"/>
    <col min="3330" max="3330" width="17.625" customWidth="1"/>
    <col min="3331" max="3331" width="11.125" customWidth="1"/>
    <col min="3332" max="3332" width="13.875" customWidth="1"/>
    <col min="3333" max="3333" width="11" customWidth="1"/>
    <col min="3334" max="3334" width="16.625" customWidth="1"/>
    <col min="3335" max="3335" width="17.625" customWidth="1"/>
    <col min="3336" max="3336" width="32.5" customWidth="1"/>
    <col min="3337" max="3337" width="11.625" customWidth="1"/>
    <col min="3338" max="3338" width="27.875" customWidth="1"/>
    <col min="3339" max="3339" width="18.5" customWidth="1"/>
    <col min="3345" max="3345" width="12.375" customWidth="1"/>
    <col min="3585" max="3585" width="29.375" customWidth="1"/>
    <col min="3586" max="3586" width="17.625" customWidth="1"/>
    <col min="3587" max="3587" width="11.125" customWidth="1"/>
    <col min="3588" max="3588" width="13.875" customWidth="1"/>
    <col min="3589" max="3589" width="11" customWidth="1"/>
    <col min="3590" max="3590" width="16.625" customWidth="1"/>
    <col min="3591" max="3591" width="17.625" customWidth="1"/>
    <col min="3592" max="3592" width="32.5" customWidth="1"/>
    <col min="3593" max="3593" width="11.625" customWidth="1"/>
    <col min="3594" max="3594" width="27.875" customWidth="1"/>
    <col min="3595" max="3595" width="18.5" customWidth="1"/>
    <col min="3601" max="3601" width="12.375" customWidth="1"/>
    <col min="3841" max="3841" width="29.375" customWidth="1"/>
    <col min="3842" max="3842" width="17.625" customWidth="1"/>
    <col min="3843" max="3843" width="11.125" customWidth="1"/>
    <col min="3844" max="3844" width="13.875" customWidth="1"/>
    <col min="3845" max="3845" width="11" customWidth="1"/>
    <col min="3846" max="3846" width="16.625" customWidth="1"/>
    <col min="3847" max="3847" width="17.625" customWidth="1"/>
    <col min="3848" max="3848" width="32.5" customWidth="1"/>
    <col min="3849" max="3849" width="11.625" customWidth="1"/>
    <col min="3850" max="3850" width="27.875" customWidth="1"/>
    <col min="3851" max="3851" width="18.5" customWidth="1"/>
    <col min="3857" max="3857" width="12.375" customWidth="1"/>
    <col min="4097" max="4097" width="29.375" customWidth="1"/>
    <col min="4098" max="4098" width="17.625" customWidth="1"/>
    <col min="4099" max="4099" width="11.125" customWidth="1"/>
    <col min="4100" max="4100" width="13.875" customWidth="1"/>
    <col min="4101" max="4101" width="11" customWidth="1"/>
    <col min="4102" max="4102" width="16.625" customWidth="1"/>
    <col min="4103" max="4103" width="17.625" customWidth="1"/>
    <col min="4104" max="4104" width="32.5" customWidth="1"/>
    <col min="4105" max="4105" width="11.625" customWidth="1"/>
    <col min="4106" max="4106" width="27.875" customWidth="1"/>
    <col min="4107" max="4107" width="18.5" customWidth="1"/>
    <col min="4113" max="4113" width="12.375" customWidth="1"/>
    <col min="4353" max="4353" width="29.375" customWidth="1"/>
    <col min="4354" max="4354" width="17.625" customWidth="1"/>
    <col min="4355" max="4355" width="11.125" customWidth="1"/>
    <col min="4356" max="4356" width="13.875" customWidth="1"/>
    <col min="4357" max="4357" width="11" customWidth="1"/>
    <col min="4358" max="4358" width="16.625" customWidth="1"/>
    <col min="4359" max="4359" width="17.625" customWidth="1"/>
    <col min="4360" max="4360" width="32.5" customWidth="1"/>
    <col min="4361" max="4361" width="11.625" customWidth="1"/>
    <col min="4362" max="4362" width="27.875" customWidth="1"/>
    <col min="4363" max="4363" width="18.5" customWidth="1"/>
    <col min="4369" max="4369" width="12.375" customWidth="1"/>
    <col min="4609" max="4609" width="29.375" customWidth="1"/>
    <col min="4610" max="4610" width="17.625" customWidth="1"/>
    <col min="4611" max="4611" width="11.125" customWidth="1"/>
    <col min="4612" max="4612" width="13.875" customWidth="1"/>
    <col min="4613" max="4613" width="11" customWidth="1"/>
    <col min="4614" max="4614" width="16.625" customWidth="1"/>
    <col min="4615" max="4615" width="17.625" customWidth="1"/>
    <col min="4616" max="4616" width="32.5" customWidth="1"/>
    <col min="4617" max="4617" width="11.625" customWidth="1"/>
    <col min="4618" max="4618" width="27.875" customWidth="1"/>
    <col min="4619" max="4619" width="18.5" customWidth="1"/>
    <col min="4625" max="4625" width="12.375" customWidth="1"/>
    <col min="4865" max="4865" width="29.375" customWidth="1"/>
    <col min="4866" max="4866" width="17.625" customWidth="1"/>
    <col min="4867" max="4867" width="11.125" customWidth="1"/>
    <col min="4868" max="4868" width="13.875" customWidth="1"/>
    <col min="4869" max="4869" width="11" customWidth="1"/>
    <col min="4870" max="4870" width="16.625" customWidth="1"/>
    <col min="4871" max="4871" width="17.625" customWidth="1"/>
    <col min="4872" max="4872" width="32.5" customWidth="1"/>
    <col min="4873" max="4873" width="11.625" customWidth="1"/>
    <col min="4874" max="4874" width="27.875" customWidth="1"/>
    <col min="4875" max="4875" width="18.5" customWidth="1"/>
    <col min="4881" max="4881" width="12.375" customWidth="1"/>
    <col min="5121" max="5121" width="29.375" customWidth="1"/>
    <col min="5122" max="5122" width="17.625" customWidth="1"/>
    <col min="5123" max="5123" width="11.125" customWidth="1"/>
    <col min="5124" max="5124" width="13.875" customWidth="1"/>
    <col min="5125" max="5125" width="11" customWidth="1"/>
    <col min="5126" max="5126" width="16.625" customWidth="1"/>
    <col min="5127" max="5127" width="17.625" customWidth="1"/>
    <col min="5128" max="5128" width="32.5" customWidth="1"/>
    <col min="5129" max="5129" width="11.625" customWidth="1"/>
    <col min="5130" max="5130" width="27.875" customWidth="1"/>
    <col min="5131" max="5131" width="18.5" customWidth="1"/>
    <col min="5137" max="5137" width="12.375" customWidth="1"/>
    <col min="5377" max="5377" width="29.375" customWidth="1"/>
    <col min="5378" max="5378" width="17.625" customWidth="1"/>
    <col min="5379" max="5379" width="11.125" customWidth="1"/>
    <col min="5380" max="5380" width="13.875" customWidth="1"/>
    <col min="5381" max="5381" width="11" customWidth="1"/>
    <col min="5382" max="5382" width="16.625" customWidth="1"/>
    <col min="5383" max="5383" width="17.625" customWidth="1"/>
    <col min="5384" max="5384" width="32.5" customWidth="1"/>
    <col min="5385" max="5385" width="11.625" customWidth="1"/>
    <col min="5386" max="5386" width="27.875" customWidth="1"/>
    <col min="5387" max="5387" width="18.5" customWidth="1"/>
    <col min="5393" max="5393" width="12.375" customWidth="1"/>
    <col min="5633" max="5633" width="29.375" customWidth="1"/>
    <col min="5634" max="5634" width="17.625" customWidth="1"/>
    <col min="5635" max="5635" width="11.125" customWidth="1"/>
    <col min="5636" max="5636" width="13.875" customWidth="1"/>
    <col min="5637" max="5637" width="11" customWidth="1"/>
    <col min="5638" max="5638" width="16.625" customWidth="1"/>
    <col min="5639" max="5639" width="17.625" customWidth="1"/>
    <col min="5640" max="5640" width="32.5" customWidth="1"/>
    <col min="5641" max="5641" width="11.625" customWidth="1"/>
    <col min="5642" max="5642" width="27.875" customWidth="1"/>
    <col min="5643" max="5643" width="18.5" customWidth="1"/>
    <col min="5649" max="5649" width="12.375" customWidth="1"/>
    <col min="5889" max="5889" width="29.375" customWidth="1"/>
    <col min="5890" max="5890" width="17.625" customWidth="1"/>
    <col min="5891" max="5891" width="11.125" customWidth="1"/>
    <col min="5892" max="5892" width="13.875" customWidth="1"/>
    <col min="5893" max="5893" width="11" customWidth="1"/>
    <col min="5894" max="5894" width="16.625" customWidth="1"/>
    <col min="5895" max="5895" width="17.625" customWidth="1"/>
    <col min="5896" max="5896" width="32.5" customWidth="1"/>
    <col min="5897" max="5897" width="11.625" customWidth="1"/>
    <col min="5898" max="5898" width="27.875" customWidth="1"/>
    <col min="5899" max="5899" width="18.5" customWidth="1"/>
    <col min="5905" max="5905" width="12.375" customWidth="1"/>
    <col min="6145" max="6145" width="29.375" customWidth="1"/>
    <col min="6146" max="6146" width="17.625" customWidth="1"/>
    <col min="6147" max="6147" width="11.125" customWidth="1"/>
    <col min="6148" max="6148" width="13.875" customWidth="1"/>
    <col min="6149" max="6149" width="11" customWidth="1"/>
    <col min="6150" max="6150" width="16.625" customWidth="1"/>
    <col min="6151" max="6151" width="17.625" customWidth="1"/>
    <col min="6152" max="6152" width="32.5" customWidth="1"/>
    <col min="6153" max="6153" width="11.625" customWidth="1"/>
    <col min="6154" max="6154" width="27.875" customWidth="1"/>
    <col min="6155" max="6155" width="18.5" customWidth="1"/>
    <col min="6161" max="6161" width="12.375" customWidth="1"/>
    <col min="6401" max="6401" width="29.375" customWidth="1"/>
    <col min="6402" max="6402" width="17.625" customWidth="1"/>
    <col min="6403" max="6403" width="11.125" customWidth="1"/>
    <col min="6404" max="6404" width="13.875" customWidth="1"/>
    <col min="6405" max="6405" width="11" customWidth="1"/>
    <col min="6406" max="6406" width="16.625" customWidth="1"/>
    <col min="6407" max="6407" width="17.625" customWidth="1"/>
    <col min="6408" max="6408" width="32.5" customWidth="1"/>
    <col min="6409" max="6409" width="11.625" customWidth="1"/>
    <col min="6410" max="6410" width="27.875" customWidth="1"/>
    <col min="6411" max="6411" width="18.5" customWidth="1"/>
    <col min="6417" max="6417" width="12.375" customWidth="1"/>
    <col min="6657" max="6657" width="29.375" customWidth="1"/>
    <col min="6658" max="6658" width="17.625" customWidth="1"/>
    <col min="6659" max="6659" width="11.125" customWidth="1"/>
    <col min="6660" max="6660" width="13.875" customWidth="1"/>
    <col min="6661" max="6661" width="11" customWidth="1"/>
    <col min="6662" max="6662" width="16.625" customWidth="1"/>
    <col min="6663" max="6663" width="17.625" customWidth="1"/>
    <col min="6664" max="6664" width="32.5" customWidth="1"/>
    <col min="6665" max="6665" width="11.625" customWidth="1"/>
    <col min="6666" max="6666" width="27.875" customWidth="1"/>
    <col min="6667" max="6667" width="18.5" customWidth="1"/>
    <col min="6673" max="6673" width="12.375" customWidth="1"/>
    <col min="6913" max="6913" width="29.375" customWidth="1"/>
    <col min="6914" max="6914" width="17.625" customWidth="1"/>
    <col min="6915" max="6915" width="11.125" customWidth="1"/>
    <col min="6916" max="6916" width="13.875" customWidth="1"/>
    <col min="6917" max="6917" width="11" customWidth="1"/>
    <col min="6918" max="6918" width="16.625" customWidth="1"/>
    <col min="6919" max="6919" width="17.625" customWidth="1"/>
    <col min="6920" max="6920" width="32.5" customWidth="1"/>
    <col min="6921" max="6921" width="11.625" customWidth="1"/>
    <col min="6922" max="6922" width="27.875" customWidth="1"/>
    <col min="6923" max="6923" width="18.5" customWidth="1"/>
    <col min="6929" max="6929" width="12.375" customWidth="1"/>
    <col min="7169" max="7169" width="29.375" customWidth="1"/>
    <col min="7170" max="7170" width="17.625" customWidth="1"/>
    <col min="7171" max="7171" width="11.125" customWidth="1"/>
    <col min="7172" max="7172" width="13.875" customWidth="1"/>
    <col min="7173" max="7173" width="11" customWidth="1"/>
    <col min="7174" max="7174" width="16.625" customWidth="1"/>
    <col min="7175" max="7175" width="17.625" customWidth="1"/>
    <col min="7176" max="7176" width="32.5" customWidth="1"/>
    <col min="7177" max="7177" width="11.625" customWidth="1"/>
    <col min="7178" max="7178" width="27.875" customWidth="1"/>
    <col min="7179" max="7179" width="18.5" customWidth="1"/>
    <col min="7185" max="7185" width="12.375" customWidth="1"/>
    <col min="7425" max="7425" width="29.375" customWidth="1"/>
    <col min="7426" max="7426" width="17.625" customWidth="1"/>
    <col min="7427" max="7427" width="11.125" customWidth="1"/>
    <col min="7428" max="7428" width="13.875" customWidth="1"/>
    <col min="7429" max="7429" width="11" customWidth="1"/>
    <col min="7430" max="7430" width="16.625" customWidth="1"/>
    <col min="7431" max="7431" width="17.625" customWidth="1"/>
    <col min="7432" max="7432" width="32.5" customWidth="1"/>
    <col min="7433" max="7433" width="11.625" customWidth="1"/>
    <col min="7434" max="7434" width="27.875" customWidth="1"/>
    <col min="7435" max="7435" width="18.5" customWidth="1"/>
    <col min="7441" max="7441" width="12.375" customWidth="1"/>
    <col min="7681" max="7681" width="29.375" customWidth="1"/>
    <col min="7682" max="7682" width="17.625" customWidth="1"/>
    <col min="7683" max="7683" width="11.125" customWidth="1"/>
    <col min="7684" max="7684" width="13.875" customWidth="1"/>
    <col min="7685" max="7685" width="11" customWidth="1"/>
    <col min="7686" max="7686" width="16.625" customWidth="1"/>
    <col min="7687" max="7687" width="17.625" customWidth="1"/>
    <col min="7688" max="7688" width="32.5" customWidth="1"/>
    <col min="7689" max="7689" width="11.625" customWidth="1"/>
    <col min="7690" max="7690" width="27.875" customWidth="1"/>
    <col min="7691" max="7691" width="18.5" customWidth="1"/>
    <col min="7697" max="7697" width="12.375" customWidth="1"/>
    <col min="7937" max="7937" width="29.375" customWidth="1"/>
    <col min="7938" max="7938" width="17.625" customWidth="1"/>
    <col min="7939" max="7939" width="11.125" customWidth="1"/>
    <col min="7940" max="7940" width="13.875" customWidth="1"/>
    <col min="7941" max="7941" width="11" customWidth="1"/>
    <col min="7942" max="7942" width="16.625" customWidth="1"/>
    <col min="7943" max="7943" width="17.625" customWidth="1"/>
    <col min="7944" max="7944" width="32.5" customWidth="1"/>
    <col min="7945" max="7945" width="11.625" customWidth="1"/>
    <col min="7946" max="7946" width="27.875" customWidth="1"/>
    <col min="7947" max="7947" width="18.5" customWidth="1"/>
    <col min="7953" max="7953" width="12.375" customWidth="1"/>
    <col min="8193" max="8193" width="29.375" customWidth="1"/>
    <col min="8194" max="8194" width="17.625" customWidth="1"/>
    <col min="8195" max="8195" width="11.125" customWidth="1"/>
    <col min="8196" max="8196" width="13.875" customWidth="1"/>
    <col min="8197" max="8197" width="11" customWidth="1"/>
    <col min="8198" max="8198" width="16.625" customWidth="1"/>
    <col min="8199" max="8199" width="17.625" customWidth="1"/>
    <col min="8200" max="8200" width="32.5" customWidth="1"/>
    <col min="8201" max="8201" width="11.625" customWidth="1"/>
    <col min="8202" max="8202" width="27.875" customWidth="1"/>
    <col min="8203" max="8203" width="18.5" customWidth="1"/>
    <col min="8209" max="8209" width="12.375" customWidth="1"/>
    <col min="8449" max="8449" width="29.375" customWidth="1"/>
    <col min="8450" max="8450" width="17.625" customWidth="1"/>
    <col min="8451" max="8451" width="11.125" customWidth="1"/>
    <col min="8452" max="8452" width="13.875" customWidth="1"/>
    <col min="8453" max="8453" width="11" customWidth="1"/>
    <col min="8454" max="8454" width="16.625" customWidth="1"/>
    <col min="8455" max="8455" width="17.625" customWidth="1"/>
    <col min="8456" max="8456" width="32.5" customWidth="1"/>
    <col min="8457" max="8457" width="11.625" customWidth="1"/>
    <col min="8458" max="8458" width="27.875" customWidth="1"/>
    <col min="8459" max="8459" width="18.5" customWidth="1"/>
    <col min="8465" max="8465" width="12.375" customWidth="1"/>
    <col min="8705" max="8705" width="29.375" customWidth="1"/>
    <col min="8706" max="8706" width="17.625" customWidth="1"/>
    <col min="8707" max="8707" width="11.125" customWidth="1"/>
    <col min="8708" max="8708" width="13.875" customWidth="1"/>
    <col min="8709" max="8709" width="11" customWidth="1"/>
    <col min="8710" max="8710" width="16.625" customWidth="1"/>
    <col min="8711" max="8711" width="17.625" customWidth="1"/>
    <col min="8712" max="8712" width="32.5" customWidth="1"/>
    <col min="8713" max="8713" width="11.625" customWidth="1"/>
    <col min="8714" max="8714" width="27.875" customWidth="1"/>
    <col min="8715" max="8715" width="18.5" customWidth="1"/>
    <col min="8721" max="8721" width="12.375" customWidth="1"/>
    <col min="8961" max="8961" width="29.375" customWidth="1"/>
    <col min="8962" max="8962" width="17.625" customWidth="1"/>
    <col min="8963" max="8963" width="11.125" customWidth="1"/>
    <col min="8964" max="8964" width="13.875" customWidth="1"/>
    <col min="8965" max="8965" width="11" customWidth="1"/>
    <col min="8966" max="8966" width="16.625" customWidth="1"/>
    <col min="8967" max="8967" width="17.625" customWidth="1"/>
    <col min="8968" max="8968" width="32.5" customWidth="1"/>
    <col min="8969" max="8969" width="11.625" customWidth="1"/>
    <col min="8970" max="8970" width="27.875" customWidth="1"/>
    <col min="8971" max="8971" width="18.5" customWidth="1"/>
    <col min="8977" max="8977" width="12.375" customWidth="1"/>
    <col min="9217" max="9217" width="29.375" customWidth="1"/>
    <col min="9218" max="9218" width="17.625" customWidth="1"/>
    <col min="9219" max="9219" width="11.125" customWidth="1"/>
    <col min="9220" max="9220" width="13.875" customWidth="1"/>
    <col min="9221" max="9221" width="11" customWidth="1"/>
    <col min="9222" max="9222" width="16.625" customWidth="1"/>
    <col min="9223" max="9223" width="17.625" customWidth="1"/>
    <col min="9224" max="9224" width="32.5" customWidth="1"/>
    <col min="9225" max="9225" width="11.625" customWidth="1"/>
    <col min="9226" max="9226" width="27.875" customWidth="1"/>
    <col min="9227" max="9227" width="18.5" customWidth="1"/>
    <col min="9233" max="9233" width="12.375" customWidth="1"/>
    <col min="9473" max="9473" width="29.375" customWidth="1"/>
    <col min="9474" max="9474" width="17.625" customWidth="1"/>
    <col min="9475" max="9475" width="11.125" customWidth="1"/>
    <col min="9476" max="9476" width="13.875" customWidth="1"/>
    <col min="9477" max="9477" width="11" customWidth="1"/>
    <col min="9478" max="9478" width="16.625" customWidth="1"/>
    <col min="9479" max="9479" width="17.625" customWidth="1"/>
    <col min="9480" max="9480" width="32.5" customWidth="1"/>
    <col min="9481" max="9481" width="11.625" customWidth="1"/>
    <col min="9482" max="9482" width="27.875" customWidth="1"/>
    <col min="9483" max="9483" width="18.5" customWidth="1"/>
    <col min="9489" max="9489" width="12.375" customWidth="1"/>
    <col min="9729" max="9729" width="29.375" customWidth="1"/>
    <col min="9730" max="9730" width="17.625" customWidth="1"/>
    <col min="9731" max="9731" width="11.125" customWidth="1"/>
    <col min="9732" max="9732" width="13.875" customWidth="1"/>
    <col min="9733" max="9733" width="11" customWidth="1"/>
    <col min="9734" max="9734" width="16.625" customWidth="1"/>
    <col min="9735" max="9735" width="17.625" customWidth="1"/>
    <col min="9736" max="9736" width="32.5" customWidth="1"/>
    <col min="9737" max="9737" width="11.625" customWidth="1"/>
    <col min="9738" max="9738" width="27.875" customWidth="1"/>
    <col min="9739" max="9739" width="18.5" customWidth="1"/>
    <col min="9745" max="9745" width="12.375" customWidth="1"/>
    <col min="9985" max="9985" width="29.375" customWidth="1"/>
    <col min="9986" max="9986" width="17.625" customWidth="1"/>
    <col min="9987" max="9987" width="11.125" customWidth="1"/>
    <col min="9988" max="9988" width="13.875" customWidth="1"/>
    <col min="9989" max="9989" width="11" customWidth="1"/>
    <col min="9990" max="9990" width="16.625" customWidth="1"/>
    <col min="9991" max="9991" width="17.625" customWidth="1"/>
    <col min="9992" max="9992" width="32.5" customWidth="1"/>
    <col min="9993" max="9993" width="11.625" customWidth="1"/>
    <col min="9994" max="9994" width="27.875" customWidth="1"/>
    <col min="9995" max="9995" width="18.5" customWidth="1"/>
    <col min="10001" max="10001" width="12.375" customWidth="1"/>
    <col min="10241" max="10241" width="29.375" customWidth="1"/>
    <col min="10242" max="10242" width="17.625" customWidth="1"/>
    <col min="10243" max="10243" width="11.125" customWidth="1"/>
    <col min="10244" max="10244" width="13.875" customWidth="1"/>
    <col min="10245" max="10245" width="11" customWidth="1"/>
    <col min="10246" max="10246" width="16.625" customWidth="1"/>
    <col min="10247" max="10247" width="17.625" customWidth="1"/>
    <col min="10248" max="10248" width="32.5" customWidth="1"/>
    <col min="10249" max="10249" width="11.625" customWidth="1"/>
    <col min="10250" max="10250" width="27.875" customWidth="1"/>
    <col min="10251" max="10251" width="18.5" customWidth="1"/>
    <col min="10257" max="10257" width="12.375" customWidth="1"/>
    <col min="10497" max="10497" width="29.375" customWidth="1"/>
    <col min="10498" max="10498" width="17.625" customWidth="1"/>
    <col min="10499" max="10499" width="11.125" customWidth="1"/>
    <col min="10500" max="10500" width="13.875" customWidth="1"/>
    <col min="10501" max="10501" width="11" customWidth="1"/>
    <col min="10502" max="10502" width="16.625" customWidth="1"/>
    <col min="10503" max="10503" width="17.625" customWidth="1"/>
    <col min="10504" max="10504" width="32.5" customWidth="1"/>
    <col min="10505" max="10505" width="11.625" customWidth="1"/>
    <col min="10506" max="10506" width="27.875" customWidth="1"/>
    <col min="10507" max="10507" width="18.5" customWidth="1"/>
    <col min="10513" max="10513" width="12.375" customWidth="1"/>
    <col min="10753" max="10753" width="29.375" customWidth="1"/>
    <col min="10754" max="10754" width="17.625" customWidth="1"/>
    <col min="10755" max="10755" width="11.125" customWidth="1"/>
    <col min="10756" max="10756" width="13.875" customWidth="1"/>
    <col min="10757" max="10757" width="11" customWidth="1"/>
    <col min="10758" max="10758" width="16.625" customWidth="1"/>
    <col min="10759" max="10759" width="17.625" customWidth="1"/>
    <col min="10760" max="10760" width="32.5" customWidth="1"/>
    <col min="10761" max="10761" width="11.625" customWidth="1"/>
    <col min="10762" max="10762" width="27.875" customWidth="1"/>
    <col min="10763" max="10763" width="18.5" customWidth="1"/>
    <col min="10769" max="10769" width="12.375" customWidth="1"/>
    <col min="11009" max="11009" width="29.375" customWidth="1"/>
    <col min="11010" max="11010" width="17.625" customWidth="1"/>
    <col min="11011" max="11011" width="11.125" customWidth="1"/>
    <col min="11012" max="11012" width="13.875" customWidth="1"/>
    <col min="11013" max="11013" width="11" customWidth="1"/>
    <col min="11014" max="11014" width="16.625" customWidth="1"/>
    <col min="11015" max="11015" width="17.625" customWidth="1"/>
    <col min="11016" max="11016" width="32.5" customWidth="1"/>
    <col min="11017" max="11017" width="11.625" customWidth="1"/>
    <col min="11018" max="11018" width="27.875" customWidth="1"/>
    <col min="11019" max="11019" width="18.5" customWidth="1"/>
    <col min="11025" max="11025" width="12.375" customWidth="1"/>
    <col min="11265" max="11265" width="29.375" customWidth="1"/>
    <col min="11266" max="11266" width="17.625" customWidth="1"/>
    <col min="11267" max="11267" width="11.125" customWidth="1"/>
    <col min="11268" max="11268" width="13.875" customWidth="1"/>
    <col min="11269" max="11269" width="11" customWidth="1"/>
    <col min="11270" max="11270" width="16.625" customWidth="1"/>
    <col min="11271" max="11271" width="17.625" customWidth="1"/>
    <col min="11272" max="11272" width="32.5" customWidth="1"/>
    <col min="11273" max="11273" width="11.625" customWidth="1"/>
    <col min="11274" max="11274" width="27.875" customWidth="1"/>
    <col min="11275" max="11275" width="18.5" customWidth="1"/>
    <col min="11281" max="11281" width="12.375" customWidth="1"/>
    <col min="11521" max="11521" width="29.375" customWidth="1"/>
    <col min="11522" max="11522" width="17.625" customWidth="1"/>
    <col min="11523" max="11523" width="11.125" customWidth="1"/>
    <col min="11524" max="11524" width="13.875" customWidth="1"/>
    <col min="11525" max="11525" width="11" customWidth="1"/>
    <col min="11526" max="11526" width="16.625" customWidth="1"/>
    <col min="11527" max="11527" width="17.625" customWidth="1"/>
    <col min="11528" max="11528" width="32.5" customWidth="1"/>
    <col min="11529" max="11529" width="11.625" customWidth="1"/>
    <col min="11530" max="11530" width="27.875" customWidth="1"/>
    <col min="11531" max="11531" width="18.5" customWidth="1"/>
    <col min="11537" max="11537" width="12.375" customWidth="1"/>
    <col min="11777" max="11777" width="29.375" customWidth="1"/>
    <col min="11778" max="11778" width="17.625" customWidth="1"/>
    <col min="11779" max="11779" width="11.125" customWidth="1"/>
    <col min="11780" max="11780" width="13.875" customWidth="1"/>
    <col min="11781" max="11781" width="11" customWidth="1"/>
    <col min="11782" max="11782" width="16.625" customWidth="1"/>
    <col min="11783" max="11783" width="17.625" customWidth="1"/>
    <col min="11784" max="11784" width="32.5" customWidth="1"/>
    <col min="11785" max="11785" width="11.625" customWidth="1"/>
    <col min="11786" max="11786" width="27.875" customWidth="1"/>
    <col min="11787" max="11787" width="18.5" customWidth="1"/>
    <col min="11793" max="11793" width="12.375" customWidth="1"/>
    <col min="12033" max="12033" width="29.375" customWidth="1"/>
    <col min="12034" max="12034" width="17.625" customWidth="1"/>
    <col min="12035" max="12035" width="11.125" customWidth="1"/>
    <col min="12036" max="12036" width="13.875" customWidth="1"/>
    <col min="12037" max="12037" width="11" customWidth="1"/>
    <col min="12038" max="12038" width="16.625" customWidth="1"/>
    <col min="12039" max="12039" width="17.625" customWidth="1"/>
    <col min="12040" max="12040" width="32.5" customWidth="1"/>
    <col min="12041" max="12041" width="11.625" customWidth="1"/>
    <col min="12042" max="12042" width="27.875" customWidth="1"/>
    <col min="12043" max="12043" width="18.5" customWidth="1"/>
    <col min="12049" max="12049" width="12.375" customWidth="1"/>
    <col min="12289" max="12289" width="29.375" customWidth="1"/>
    <col min="12290" max="12290" width="17.625" customWidth="1"/>
    <col min="12291" max="12291" width="11.125" customWidth="1"/>
    <col min="12292" max="12292" width="13.875" customWidth="1"/>
    <col min="12293" max="12293" width="11" customWidth="1"/>
    <col min="12294" max="12294" width="16.625" customWidth="1"/>
    <col min="12295" max="12295" width="17.625" customWidth="1"/>
    <col min="12296" max="12296" width="32.5" customWidth="1"/>
    <col min="12297" max="12297" width="11.625" customWidth="1"/>
    <col min="12298" max="12298" width="27.875" customWidth="1"/>
    <col min="12299" max="12299" width="18.5" customWidth="1"/>
    <col min="12305" max="12305" width="12.375" customWidth="1"/>
    <col min="12545" max="12545" width="29.375" customWidth="1"/>
    <col min="12546" max="12546" width="17.625" customWidth="1"/>
    <col min="12547" max="12547" width="11.125" customWidth="1"/>
    <col min="12548" max="12548" width="13.875" customWidth="1"/>
    <col min="12549" max="12549" width="11" customWidth="1"/>
    <col min="12550" max="12550" width="16.625" customWidth="1"/>
    <col min="12551" max="12551" width="17.625" customWidth="1"/>
    <col min="12552" max="12552" width="32.5" customWidth="1"/>
    <col min="12553" max="12553" width="11.625" customWidth="1"/>
    <col min="12554" max="12554" width="27.875" customWidth="1"/>
    <col min="12555" max="12555" width="18.5" customWidth="1"/>
    <col min="12561" max="12561" width="12.375" customWidth="1"/>
    <col min="12801" max="12801" width="29.375" customWidth="1"/>
    <col min="12802" max="12802" width="17.625" customWidth="1"/>
    <col min="12803" max="12803" width="11.125" customWidth="1"/>
    <col min="12804" max="12804" width="13.875" customWidth="1"/>
    <col min="12805" max="12805" width="11" customWidth="1"/>
    <col min="12806" max="12806" width="16.625" customWidth="1"/>
    <col min="12807" max="12807" width="17.625" customWidth="1"/>
    <col min="12808" max="12808" width="32.5" customWidth="1"/>
    <col min="12809" max="12809" width="11.625" customWidth="1"/>
    <col min="12810" max="12810" width="27.875" customWidth="1"/>
    <col min="12811" max="12811" width="18.5" customWidth="1"/>
    <col min="12817" max="12817" width="12.375" customWidth="1"/>
    <col min="13057" max="13057" width="29.375" customWidth="1"/>
    <col min="13058" max="13058" width="17.625" customWidth="1"/>
    <col min="13059" max="13059" width="11.125" customWidth="1"/>
    <col min="13060" max="13060" width="13.875" customWidth="1"/>
    <col min="13061" max="13061" width="11" customWidth="1"/>
    <col min="13062" max="13062" width="16.625" customWidth="1"/>
    <col min="13063" max="13063" width="17.625" customWidth="1"/>
    <col min="13064" max="13064" width="32.5" customWidth="1"/>
    <col min="13065" max="13065" width="11.625" customWidth="1"/>
    <col min="13066" max="13066" width="27.875" customWidth="1"/>
    <col min="13067" max="13067" width="18.5" customWidth="1"/>
    <col min="13073" max="13073" width="12.375" customWidth="1"/>
    <col min="13313" max="13313" width="29.375" customWidth="1"/>
    <col min="13314" max="13314" width="17.625" customWidth="1"/>
    <col min="13315" max="13315" width="11.125" customWidth="1"/>
    <col min="13316" max="13316" width="13.875" customWidth="1"/>
    <col min="13317" max="13317" width="11" customWidth="1"/>
    <col min="13318" max="13318" width="16.625" customWidth="1"/>
    <col min="13319" max="13319" width="17.625" customWidth="1"/>
    <col min="13320" max="13320" width="32.5" customWidth="1"/>
    <col min="13321" max="13321" width="11.625" customWidth="1"/>
    <col min="13322" max="13322" width="27.875" customWidth="1"/>
    <col min="13323" max="13323" width="18.5" customWidth="1"/>
    <col min="13329" max="13329" width="12.375" customWidth="1"/>
    <col min="13569" max="13569" width="29.375" customWidth="1"/>
    <col min="13570" max="13570" width="17.625" customWidth="1"/>
    <col min="13571" max="13571" width="11.125" customWidth="1"/>
    <col min="13572" max="13572" width="13.875" customWidth="1"/>
    <col min="13573" max="13573" width="11" customWidth="1"/>
    <col min="13574" max="13574" width="16.625" customWidth="1"/>
    <col min="13575" max="13575" width="17.625" customWidth="1"/>
    <col min="13576" max="13576" width="32.5" customWidth="1"/>
    <col min="13577" max="13577" width="11.625" customWidth="1"/>
    <col min="13578" max="13578" width="27.875" customWidth="1"/>
    <col min="13579" max="13579" width="18.5" customWidth="1"/>
    <col min="13585" max="13585" width="12.375" customWidth="1"/>
    <col min="13825" max="13825" width="29.375" customWidth="1"/>
    <col min="13826" max="13826" width="17.625" customWidth="1"/>
    <col min="13827" max="13827" width="11.125" customWidth="1"/>
    <col min="13828" max="13828" width="13.875" customWidth="1"/>
    <col min="13829" max="13829" width="11" customWidth="1"/>
    <col min="13830" max="13830" width="16.625" customWidth="1"/>
    <col min="13831" max="13831" width="17.625" customWidth="1"/>
    <col min="13832" max="13832" width="32.5" customWidth="1"/>
    <col min="13833" max="13833" width="11.625" customWidth="1"/>
    <col min="13834" max="13834" width="27.875" customWidth="1"/>
    <col min="13835" max="13835" width="18.5" customWidth="1"/>
    <col min="13841" max="13841" width="12.375" customWidth="1"/>
    <col min="14081" max="14081" width="29.375" customWidth="1"/>
    <col min="14082" max="14082" width="17.625" customWidth="1"/>
    <col min="14083" max="14083" width="11.125" customWidth="1"/>
    <col min="14084" max="14084" width="13.875" customWidth="1"/>
    <col min="14085" max="14085" width="11" customWidth="1"/>
    <col min="14086" max="14086" width="16.625" customWidth="1"/>
    <col min="14087" max="14087" width="17.625" customWidth="1"/>
    <col min="14088" max="14088" width="32.5" customWidth="1"/>
    <col min="14089" max="14089" width="11.625" customWidth="1"/>
    <col min="14090" max="14090" width="27.875" customWidth="1"/>
    <col min="14091" max="14091" width="18.5" customWidth="1"/>
    <col min="14097" max="14097" width="12.375" customWidth="1"/>
    <col min="14337" max="14337" width="29.375" customWidth="1"/>
    <col min="14338" max="14338" width="17.625" customWidth="1"/>
    <col min="14339" max="14339" width="11.125" customWidth="1"/>
    <col min="14340" max="14340" width="13.875" customWidth="1"/>
    <col min="14341" max="14341" width="11" customWidth="1"/>
    <col min="14342" max="14342" width="16.625" customWidth="1"/>
    <col min="14343" max="14343" width="17.625" customWidth="1"/>
    <col min="14344" max="14344" width="32.5" customWidth="1"/>
    <col min="14345" max="14345" width="11.625" customWidth="1"/>
    <col min="14346" max="14346" width="27.875" customWidth="1"/>
    <col min="14347" max="14347" width="18.5" customWidth="1"/>
    <col min="14353" max="14353" width="12.375" customWidth="1"/>
    <col min="14593" max="14593" width="29.375" customWidth="1"/>
    <col min="14594" max="14594" width="17.625" customWidth="1"/>
    <col min="14595" max="14595" width="11.125" customWidth="1"/>
    <col min="14596" max="14596" width="13.875" customWidth="1"/>
    <col min="14597" max="14597" width="11" customWidth="1"/>
    <col min="14598" max="14598" width="16.625" customWidth="1"/>
    <col min="14599" max="14599" width="17.625" customWidth="1"/>
    <col min="14600" max="14600" width="32.5" customWidth="1"/>
    <col min="14601" max="14601" width="11.625" customWidth="1"/>
    <col min="14602" max="14602" width="27.875" customWidth="1"/>
    <col min="14603" max="14603" width="18.5" customWidth="1"/>
    <col min="14609" max="14609" width="12.375" customWidth="1"/>
    <col min="14849" max="14849" width="29.375" customWidth="1"/>
    <col min="14850" max="14850" width="17.625" customWidth="1"/>
    <col min="14851" max="14851" width="11.125" customWidth="1"/>
    <col min="14852" max="14852" width="13.875" customWidth="1"/>
    <col min="14853" max="14853" width="11" customWidth="1"/>
    <col min="14854" max="14854" width="16.625" customWidth="1"/>
    <col min="14855" max="14855" width="17.625" customWidth="1"/>
    <col min="14856" max="14856" width="32.5" customWidth="1"/>
    <col min="14857" max="14857" width="11.625" customWidth="1"/>
    <col min="14858" max="14858" width="27.875" customWidth="1"/>
    <col min="14859" max="14859" width="18.5" customWidth="1"/>
    <col min="14865" max="14865" width="12.375" customWidth="1"/>
    <col min="15105" max="15105" width="29.375" customWidth="1"/>
    <col min="15106" max="15106" width="17.625" customWidth="1"/>
    <col min="15107" max="15107" width="11.125" customWidth="1"/>
    <col min="15108" max="15108" width="13.875" customWidth="1"/>
    <col min="15109" max="15109" width="11" customWidth="1"/>
    <col min="15110" max="15110" width="16.625" customWidth="1"/>
    <col min="15111" max="15111" width="17.625" customWidth="1"/>
    <col min="15112" max="15112" width="32.5" customWidth="1"/>
    <col min="15113" max="15113" width="11.625" customWidth="1"/>
    <col min="15114" max="15114" width="27.875" customWidth="1"/>
    <col min="15115" max="15115" width="18.5" customWidth="1"/>
    <col min="15121" max="15121" width="12.375" customWidth="1"/>
    <col min="15361" max="15361" width="29.375" customWidth="1"/>
    <col min="15362" max="15362" width="17.625" customWidth="1"/>
    <col min="15363" max="15363" width="11.125" customWidth="1"/>
    <col min="15364" max="15364" width="13.875" customWidth="1"/>
    <col min="15365" max="15365" width="11" customWidth="1"/>
    <col min="15366" max="15366" width="16.625" customWidth="1"/>
    <col min="15367" max="15367" width="17.625" customWidth="1"/>
    <col min="15368" max="15368" width="32.5" customWidth="1"/>
    <col min="15369" max="15369" width="11.625" customWidth="1"/>
    <col min="15370" max="15370" width="27.875" customWidth="1"/>
    <col min="15371" max="15371" width="18.5" customWidth="1"/>
    <col min="15377" max="15377" width="12.375" customWidth="1"/>
    <col min="15617" max="15617" width="29.375" customWidth="1"/>
    <col min="15618" max="15618" width="17.625" customWidth="1"/>
    <col min="15619" max="15619" width="11.125" customWidth="1"/>
    <col min="15620" max="15620" width="13.875" customWidth="1"/>
    <col min="15621" max="15621" width="11" customWidth="1"/>
    <col min="15622" max="15622" width="16.625" customWidth="1"/>
    <col min="15623" max="15623" width="17.625" customWidth="1"/>
    <col min="15624" max="15624" width="32.5" customWidth="1"/>
    <col min="15625" max="15625" width="11.625" customWidth="1"/>
    <col min="15626" max="15626" width="27.875" customWidth="1"/>
    <col min="15627" max="15627" width="18.5" customWidth="1"/>
    <col min="15633" max="15633" width="12.375" customWidth="1"/>
    <col min="15873" max="15873" width="29.375" customWidth="1"/>
    <col min="15874" max="15874" width="17.625" customWidth="1"/>
    <col min="15875" max="15875" width="11.125" customWidth="1"/>
    <col min="15876" max="15876" width="13.875" customWidth="1"/>
    <col min="15877" max="15877" width="11" customWidth="1"/>
    <col min="15878" max="15878" width="16.625" customWidth="1"/>
    <col min="15879" max="15879" width="17.625" customWidth="1"/>
    <col min="15880" max="15880" width="32.5" customWidth="1"/>
    <col min="15881" max="15881" width="11.625" customWidth="1"/>
    <col min="15882" max="15882" width="27.875" customWidth="1"/>
    <col min="15883" max="15883" width="18.5" customWidth="1"/>
    <col min="15889" max="15889" width="12.375" customWidth="1"/>
    <col min="16129" max="16129" width="29.375" customWidth="1"/>
    <col min="16130" max="16130" width="17.625" customWidth="1"/>
    <col min="16131" max="16131" width="11.125" customWidth="1"/>
    <col min="16132" max="16132" width="13.875" customWidth="1"/>
    <col min="16133" max="16133" width="11" customWidth="1"/>
    <col min="16134" max="16134" width="16.625" customWidth="1"/>
    <col min="16135" max="16135" width="17.625" customWidth="1"/>
    <col min="16136" max="16136" width="32.5" customWidth="1"/>
    <col min="16137" max="16137" width="11.625" customWidth="1"/>
    <col min="16138" max="16138" width="27.875" customWidth="1"/>
    <col min="16139" max="16139" width="18.5" customWidth="1"/>
    <col min="16145" max="16145" width="12.375" customWidth="1"/>
  </cols>
  <sheetData>
    <row r="1" spans="1:17">
      <c r="A1" s="49" t="s">
        <v>118</v>
      </c>
      <c r="B1" s="197">
        <v>43835</v>
      </c>
      <c r="C1" s="198"/>
      <c r="D1" s="198"/>
      <c r="E1" s="198"/>
      <c r="F1" s="198"/>
      <c r="G1" s="198"/>
      <c r="H1" s="199" t="s">
        <v>119</v>
      </c>
      <c r="I1" s="202" t="s">
        <v>120</v>
      </c>
      <c r="J1" s="203"/>
      <c r="K1" s="204"/>
    </row>
    <row r="2" spans="1:17">
      <c r="A2" s="51" t="s">
        <v>121</v>
      </c>
      <c r="B2" s="205" t="s">
        <v>122</v>
      </c>
      <c r="C2" s="206"/>
      <c r="D2" s="206"/>
      <c r="E2" s="206"/>
      <c r="F2" s="206"/>
      <c r="G2" s="206"/>
      <c r="H2" s="200"/>
      <c r="I2" s="207" t="s">
        <v>123</v>
      </c>
      <c r="J2" s="208"/>
      <c r="K2" s="209"/>
    </row>
    <row r="3" spans="1:17">
      <c r="A3" s="51" t="s">
        <v>124</v>
      </c>
      <c r="B3" s="213" t="s">
        <v>125</v>
      </c>
      <c r="C3" s="214"/>
      <c r="D3" s="214"/>
      <c r="E3" s="215"/>
      <c r="F3" s="213" t="s">
        <v>126</v>
      </c>
      <c r="G3" s="214"/>
      <c r="H3" s="200"/>
      <c r="I3" s="207"/>
      <c r="J3" s="208"/>
      <c r="K3" s="209"/>
    </row>
    <row r="4" spans="1:17">
      <c r="A4" s="51" t="s">
        <v>127</v>
      </c>
      <c r="B4" s="216" t="s">
        <v>128</v>
      </c>
      <c r="C4" s="217"/>
      <c r="D4" s="217"/>
      <c r="E4" s="217"/>
      <c r="F4" s="217"/>
      <c r="G4" s="217"/>
      <c r="H4" s="200"/>
      <c r="I4" s="207"/>
      <c r="J4" s="208"/>
      <c r="K4" s="209"/>
    </row>
    <row r="5" spans="1:17">
      <c r="A5" s="51" t="s">
        <v>129</v>
      </c>
      <c r="B5" s="218" t="s">
        <v>130</v>
      </c>
      <c r="C5" s="219"/>
      <c r="D5" s="219"/>
      <c r="E5" s="219"/>
      <c r="F5" s="219"/>
      <c r="G5" s="219"/>
      <c r="H5" s="200"/>
      <c r="I5" s="207"/>
      <c r="J5" s="208"/>
      <c r="K5" s="209"/>
    </row>
    <row r="6" spans="1:17" s="1" customFormat="1">
      <c r="A6" s="51" t="s">
        <v>131</v>
      </c>
      <c r="B6" s="205" t="s">
        <v>132</v>
      </c>
      <c r="C6" s="206"/>
      <c r="D6" s="206"/>
      <c r="E6" s="206"/>
      <c r="F6" s="206"/>
      <c r="G6" s="206"/>
      <c r="H6" s="200"/>
      <c r="I6" s="207"/>
      <c r="J6" s="208"/>
      <c r="K6" s="209"/>
      <c r="Q6" s="52"/>
    </row>
    <row r="7" spans="1:17" ht="16.5" thickBot="1">
      <c r="A7" s="53" t="s">
        <v>133</v>
      </c>
      <c r="B7" s="192" t="s">
        <v>134</v>
      </c>
      <c r="C7" s="193"/>
      <c r="D7" s="193"/>
      <c r="E7" s="193"/>
      <c r="F7" s="193"/>
      <c r="G7" s="193"/>
      <c r="H7" s="201"/>
      <c r="I7" s="210"/>
      <c r="J7" s="211"/>
      <c r="K7" s="212"/>
    </row>
    <row r="8" spans="1:17" ht="16.5" thickBot="1">
      <c r="A8" t="s">
        <v>135</v>
      </c>
      <c r="B8" s="28"/>
      <c r="C8" s="35"/>
      <c r="D8" s="28"/>
      <c r="E8" s="28"/>
      <c r="F8" s="54" t="s">
        <v>136</v>
      </c>
      <c r="G8" s="55"/>
      <c r="H8" s="28"/>
      <c r="K8" s="56"/>
    </row>
    <row r="9" spans="1:17" ht="16.5" thickBot="1">
      <c r="A9" t="s">
        <v>137</v>
      </c>
      <c r="B9" s="28"/>
      <c r="C9" s="35"/>
      <c r="D9" s="28"/>
      <c r="E9" s="28"/>
      <c r="F9" s="57">
        <v>0.25</v>
      </c>
      <c r="G9" s="55"/>
      <c r="H9" s="28"/>
      <c r="K9" s="56"/>
      <c r="L9" s="194" t="s">
        <v>138</v>
      </c>
      <c r="M9" s="195"/>
      <c r="N9" s="195"/>
      <c r="O9" s="195"/>
      <c r="P9" s="195"/>
      <c r="Q9" s="196"/>
    </row>
    <row r="10" spans="1:17" ht="54" customHeight="1">
      <c r="A10" s="58" t="s">
        <v>139</v>
      </c>
      <c r="B10" s="59" t="s">
        <v>140</v>
      </c>
      <c r="C10" s="60" t="s">
        <v>141</v>
      </c>
      <c r="D10" s="59" t="s">
        <v>142</v>
      </c>
      <c r="E10" s="59" t="s">
        <v>143</v>
      </c>
      <c r="F10" s="61" t="s">
        <v>144</v>
      </c>
      <c r="G10" s="59" t="s">
        <v>145</v>
      </c>
      <c r="H10" s="61" t="s">
        <v>146</v>
      </c>
      <c r="I10" s="59" t="s">
        <v>147</v>
      </c>
      <c r="J10" s="59" t="s">
        <v>148</v>
      </c>
      <c r="K10" s="62" t="s">
        <v>149</v>
      </c>
      <c r="L10" s="59" t="s">
        <v>150</v>
      </c>
      <c r="M10" s="59" t="s">
        <v>151</v>
      </c>
      <c r="N10" s="59" t="s">
        <v>152</v>
      </c>
      <c r="O10" s="59" t="s">
        <v>153</v>
      </c>
      <c r="P10" s="59" t="s">
        <v>154</v>
      </c>
      <c r="Q10" s="60" t="s">
        <v>155</v>
      </c>
    </row>
    <row r="11" spans="1:17">
      <c r="A11" s="63" t="s">
        <v>156</v>
      </c>
      <c r="B11" s="64">
        <v>47</v>
      </c>
      <c r="C11" s="65">
        <v>1.4396117500000001</v>
      </c>
      <c r="D11" s="66">
        <v>0.85083971543882309</v>
      </c>
      <c r="E11" s="66">
        <v>4.1307972999999998E-2</v>
      </c>
      <c r="F11" s="65">
        <f>IF($F$8="Effective",C11/(1+(1-E11)*D11),C11/(1+(1-$F$9)*D11))</f>
        <v>0.87881421960241646</v>
      </c>
      <c r="G11" s="66">
        <v>6.00446383501319E-2</v>
      </c>
      <c r="H11" s="65">
        <f>F11/(1-G11)</f>
        <v>0.93495314294485965</v>
      </c>
      <c r="I11" s="67">
        <v>0.65693512499999995</v>
      </c>
      <c r="J11" s="66">
        <v>0.62376766299999997</v>
      </c>
      <c r="K11" s="68">
        <v>0.14609366395011514</v>
      </c>
      <c r="L11" s="65">
        <v>0.8264428272638602</v>
      </c>
      <c r="M11" s="65">
        <v>0.73846637214088284</v>
      </c>
      <c r="N11" s="69">
        <v>0.91018199015478041</v>
      </c>
      <c r="O11" s="65">
        <v>0.78427897059429152</v>
      </c>
      <c r="P11" s="65">
        <v>0.86798131535667578</v>
      </c>
      <c r="Q11" s="35" t="e">
        <f>AVERAGE('[1]Industry Averages'!$H11,'[1]Industry Averages'!$L11:$P11)</f>
        <v>#REF!</v>
      </c>
    </row>
    <row r="12" spans="1:17">
      <c r="A12" s="63" t="s">
        <v>157</v>
      </c>
      <c r="B12" s="64">
        <v>77</v>
      </c>
      <c r="C12" s="65">
        <v>1.231583809</v>
      </c>
      <c r="D12" s="66">
        <v>0.24279362892511167</v>
      </c>
      <c r="E12" s="66">
        <v>8.5443414999999995E-2</v>
      </c>
      <c r="F12" s="65">
        <f t="shared" ref="F12:F75" si="0">IF($F$8="Effective",C12/(1+(1-E12)*D12),C12/(1+(1-$F$9)*D12))</f>
        <v>1.0418651445314646</v>
      </c>
      <c r="G12" s="66">
        <v>3.3988189319833662E-2</v>
      </c>
      <c r="H12" s="65">
        <f t="shared" ref="H12:H75" si="1">F12/(1-G12)</f>
        <v>1.078522159887352</v>
      </c>
      <c r="I12" s="67">
        <v>0.48190202999999998</v>
      </c>
      <c r="J12" s="66">
        <v>0.387395563</v>
      </c>
      <c r="K12" s="68">
        <v>0.20258814917097684</v>
      </c>
      <c r="L12" s="65">
        <v>1.0579989732931689</v>
      </c>
      <c r="M12" s="65">
        <v>1.1953920656189123</v>
      </c>
      <c r="N12" s="65">
        <v>0.93703235109989635</v>
      </c>
      <c r="O12" s="65">
        <v>0.99233232129102122</v>
      </c>
      <c r="P12" s="65">
        <v>1.09222603297197</v>
      </c>
      <c r="Q12" s="35" t="e">
        <f>AVERAGE('[1]Industry Averages'!$H12,'[1]Industry Averages'!$L12:$P12)</f>
        <v>#REF!</v>
      </c>
    </row>
    <row r="13" spans="1:17">
      <c r="A13" s="63" t="s">
        <v>158</v>
      </c>
      <c r="B13" s="64">
        <v>18</v>
      </c>
      <c r="C13" s="65">
        <v>1.4353478609999999</v>
      </c>
      <c r="D13" s="66">
        <v>1.0342785265438903</v>
      </c>
      <c r="E13" s="66">
        <v>0.18471064300000001</v>
      </c>
      <c r="F13" s="65">
        <f t="shared" si="0"/>
        <v>0.80832385596313194</v>
      </c>
      <c r="G13" s="66">
        <v>4.1899102808452646E-2</v>
      </c>
      <c r="H13" s="65">
        <f t="shared" si="1"/>
        <v>0.84367299762743941</v>
      </c>
      <c r="I13" s="67">
        <v>0.41102493499999998</v>
      </c>
      <c r="J13" s="66">
        <v>0.317396332</v>
      </c>
      <c r="K13" s="68">
        <v>0.62124995526366433</v>
      </c>
      <c r="L13" s="65">
        <v>0.61075171852483912</v>
      </c>
      <c r="M13" s="65">
        <v>0.84529931162966976</v>
      </c>
      <c r="N13" s="69">
        <v>0.76081222883561583</v>
      </c>
      <c r="O13" s="65">
        <v>0.67328042235886143</v>
      </c>
      <c r="P13" s="65">
        <v>0.63449012760872248</v>
      </c>
      <c r="Q13" s="35" t="e">
        <f>AVERAGE('[1]Industry Averages'!$H13,'[1]Industry Averages'!$L13:$P13)</f>
        <v>#REF!</v>
      </c>
    </row>
    <row r="14" spans="1:17">
      <c r="A14" s="63" t="s">
        <v>159</v>
      </c>
      <c r="B14" s="64">
        <v>51</v>
      </c>
      <c r="C14" s="65">
        <v>1.055096737</v>
      </c>
      <c r="D14" s="66">
        <v>0.41768233393651771</v>
      </c>
      <c r="E14" s="66">
        <v>0.11111647600000001</v>
      </c>
      <c r="F14" s="65">
        <f t="shared" si="0"/>
        <v>0.80341694002474651</v>
      </c>
      <c r="G14" s="66">
        <v>3.1608925895437678E-2</v>
      </c>
      <c r="H14" s="65">
        <f t="shared" si="1"/>
        <v>0.82964100094338267</v>
      </c>
      <c r="I14" s="67">
        <v>0.50307490300000002</v>
      </c>
      <c r="J14" s="66">
        <v>0.51101909700000003</v>
      </c>
      <c r="K14" s="68">
        <v>0.1656023796412637</v>
      </c>
      <c r="L14" s="65">
        <v>0.85997351840923264</v>
      </c>
      <c r="M14" s="65">
        <v>0.88175283038136143</v>
      </c>
      <c r="N14" s="65">
        <v>0.70523095444236727</v>
      </c>
      <c r="O14" s="65">
        <v>0.85095727036123026</v>
      </c>
      <c r="P14" s="65">
        <v>0.76317292413268889</v>
      </c>
      <c r="Q14" s="35" t="e">
        <f>AVERAGE('[1]Industry Averages'!$H14,'[1]Industry Averages'!$L14:$P14)</f>
        <v>#REF!</v>
      </c>
    </row>
    <row r="15" spans="1:17">
      <c r="A15" s="63" t="s">
        <v>160</v>
      </c>
      <c r="B15" s="64">
        <v>13</v>
      </c>
      <c r="C15" s="65">
        <v>1.095074098</v>
      </c>
      <c r="D15" s="66">
        <v>1.6492761052091307</v>
      </c>
      <c r="E15" s="66">
        <v>5.9326293000000002E-2</v>
      </c>
      <c r="F15" s="65">
        <f t="shared" si="0"/>
        <v>0.48953737571716788</v>
      </c>
      <c r="G15" s="66">
        <v>6.885153417619691E-2</v>
      </c>
      <c r="H15" s="65">
        <f t="shared" si="1"/>
        <v>0.52573503977592417</v>
      </c>
      <c r="I15" s="67">
        <v>0.50148523499999997</v>
      </c>
      <c r="J15" s="66">
        <v>0.35018877700000001</v>
      </c>
      <c r="K15" s="68">
        <v>0.88394141529890824</v>
      </c>
      <c r="L15" s="65">
        <v>0.59008048966899762</v>
      </c>
      <c r="M15" s="65">
        <v>0.47138066877424006</v>
      </c>
      <c r="N15" s="69">
        <v>0.37928329212752937</v>
      </c>
      <c r="O15" s="65">
        <v>0.59226199691257841</v>
      </c>
      <c r="P15" s="65">
        <v>0.34187109553097822</v>
      </c>
      <c r="Q15" s="35" t="e">
        <f>AVERAGE('[1]Industry Averages'!$H15,'[1]Industry Averages'!$L15:$P15)</f>
        <v>#REF!</v>
      </c>
    </row>
    <row r="16" spans="1:17">
      <c r="A16" s="63" t="s">
        <v>161</v>
      </c>
      <c r="B16" s="64">
        <v>46</v>
      </c>
      <c r="C16" s="65">
        <v>1.2109700219999999</v>
      </c>
      <c r="D16" s="66">
        <v>0.50863785448768017</v>
      </c>
      <c r="E16" s="66">
        <v>7.2498900000000005E-2</v>
      </c>
      <c r="F16" s="65">
        <f t="shared" si="0"/>
        <v>0.87657543542255179</v>
      </c>
      <c r="G16" s="66">
        <v>7.4359682353797321E-2</v>
      </c>
      <c r="H16" s="65">
        <f t="shared" si="1"/>
        <v>0.94699357699930653</v>
      </c>
      <c r="I16" s="67">
        <v>0.57455917400000001</v>
      </c>
      <c r="J16" s="66">
        <v>0.50433022000000005</v>
      </c>
      <c r="K16" s="68">
        <v>0.44057995680204731</v>
      </c>
      <c r="L16" s="65">
        <v>1.1437099178522798</v>
      </c>
      <c r="M16" s="65">
        <v>1.0847454262865814</v>
      </c>
      <c r="N16" s="65">
        <v>0.93671223470946652</v>
      </c>
      <c r="O16" s="65">
        <v>0.92004456368593335</v>
      </c>
      <c r="P16" s="65">
        <v>0.96788506434122124</v>
      </c>
      <c r="Q16" s="35" t="e">
        <f>AVERAGE('[1]Industry Averages'!$H16,'[1]Industry Averages'!$L16:$P16)</f>
        <v>#REF!</v>
      </c>
    </row>
    <row r="17" spans="1:17">
      <c r="A17" s="63" t="s">
        <v>162</v>
      </c>
      <c r="B17" s="64">
        <v>7</v>
      </c>
      <c r="C17" s="65">
        <v>1.000862659</v>
      </c>
      <c r="D17" s="66">
        <v>1.7774807857734445</v>
      </c>
      <c r="E17" s="66">
        <v>0.193558691</v>
      </c>
      <c r="F17" s="65">
        <f t="shared" si="0"/>
        <v>0.42898209093782486</v>
      </c>
      <c r="G17" s="66">
        <v>0.23333279805081775</v>
      </c>
      <c r="H17" s="65">
        <f t="shared" si="1"/>
        <v>0.55954146707616625</v>
      </c>
      <c r="I17" s="67">
        <v>0.17400431699999999</v>
      </c>
      <c r="J17" s="66">
        <v>0.177446458</v>
      </c>
      <c r="K17" s="68" t="s">
        <v>163</v>
      </c>
      <c r="L17" s="65">
        <v>0.33766155202325776</v>
      </c>
      <c r="M17" s="65">
        <v>0.47353512676775578</v>
      </c>
      <c r="N17" s="69">
        <v>0.40526826378964481</v>
      </c>
      <c r="O17" s="65">
        <v>0.32250415910787117</v>
      </c>
      <c r="P17" s="65">
        <v>0.42823345075055169</v>
      </c>
      <c r="Q17" s="35" t="e">
        <f>AVERAGE('[1]Industry Averages'!$H17,'[1]Industry Averages'!$L17:$P17)</f>
        <v>#REF!</v>
      </c>
    </row>
    <row r="18" spans="1:17">
      <c r="A18" s="63" t="s">
        <v>164</v>
      </c>
      <c r="B18" s="64">
        <v>611</v>
      </c>
      <c r="C18" s="65">
        <v>0.56698275799999998</v>
      </c>
      <c r="D18" s="66">
        <v>0.62919721799881845</v>
      </c>
      <c r="E18" s="66">
        <v>0.17462836700000001</v>
      </c>
      <c r="F18" s="65">
        <f t="shared" si="0"/>
        <v>0.38520521892182252</v>
      </c>
      <c r="G18" s="66">
        <v>0.10690632348660729</v>
      </c>
      <c r="H18" s="65">
        <f t="shared" si="1"/>
        <v>0.43131558206262371</v>
      </c>
      <c r="I18" s="67">
        <v>0.15817769800000001</v>
      </c>
      <c r="J18" s="66">
        <v>0.182632184</v>
      </c>
      <c r="K18" s="68" t="s">
        <v>163</v>
      </c>
      <c r="L18" s="65">
        <v>0.37222903221785603</v>
      </c>
      <c r="M18" s="65">
        <v>0.36327661295872771</v>
      </c>
      <c r="N18" s="65">
        <v>0.36438911849532657</v>
      </c>
      <c r="O18" s="65">
        <v>0.38572641464055496</v>
      </c>
      <c r="P18" s="65">
        <v>0.4043516578768579</v>
      </c>
      <c r="Q18" s="35" t="e">
        <f>AVERAGE('[1]Industry Averages'!$H18,'[1]Industry Averages'!$L18:$P18)</f>
        <v>#REF!</v>
      </c>
    </row>
    <row r="19" spans="1:17">
      <c r="A19" s="63" t="s">
        <v>165</v>
      </c>
      <c r="B19" s="64">
        <v>21</v>
      </c>
      <c r="C19" s="65">
        <v>1.126335082</v>
      </c>
      <c r="D19" s="66">
        <v>0.31279539425967018</v>
      </c>
      <c r="E19" s="66">
        <v>6.6164509999999996E-2</v>
      </c>
      <c r="F19" s="65">
        <f t="shared" si="0"/>
        <v>0.91231024898597135</v>
      </c>
      <c r="G19" s="66">
        <v>7.1525014100237072E-3</v>
      </c>
      <c r="H19" s="65">
        <f t="shared" si="1"/>
        <v>0.91888255777611116</v>
      </c>
      <c r="I19" s="67">
        <v>0.55276714000000005</v>
      </c>
      <c r="J19" s="66">
        <v>0.42462515200000001</v>
      </c>
      <c r="K19" s="68">
        <v>0.45119560271903753</v>
      </c>
      <c r="L19" s="65">
        <v>0.89439486543947133</v>
      </c>
      <c r="M19" s="65">
        <v>0.8180933816000725</v>
      </c>
      <c r="N19" s="69">
        <v>0.71013723612129176</v>
      </c>
      <c r="O19" s="65">
        <v>1.1198147273755252</v>
      </c>
      <c r="P19" s="65">
        <v>1.0479649012287298</v>
      </c>
      <c r="Q19" s="35" t="e">
        <f>AVERAGE('[1]Industry Averages'!$H19,'[1]Industry Averages'!$L19:$P19)</f>
        <v>#REF!</v>
      </c>
    </row>
    <row r="20" spans="1:17">
      <c r="A20" s="63" t="s">
        <v>166</v>
      </c>
      <c r="B20" s="64">
        <v>34</v>
      </c>
      <c r="C20" s="65">
        <v>1.2188969089999999</v>
      </c>
      <c r="D20" s="66">
        <v>0.1923833294576949</v>
      </c>
      <c r="E20" s="66">
        <v>4.0047920000000001E-2</v>
      </c>
      <c r="F20" s="65">
        <f t="shared" si="0"/>
        <v>1.0652016316670871</v>
      </c>
      <c r="G20" s="66">
        <v>2.338979790404435E-2</v>
      </c>
      <c r="H20" s="65">
        <f t="shared" si="1"/>
        <v>1.0907131928183842</v>
      </c>
      <c r="I20" s="67">
        <v>0.66761747100000002</v>
      </c>
      <c r="J20" s="66">
        <v>0.57076926299999997</v>
      </c>
      <c r="K20" s="68">
        <v>8.8203660064554185E-2</v>
      </c>
      <c r="L20" s="65">
        <v>0.9754857901559314</v>
      </c>
      <c r="M20" s="65">
        <v>0.98936155872391329</v>
      </c>
      <c r="N20" s="65">
        <v>0.7781055630963416</v>
      </c>
      <c r="O20" s="65">
        <v>0.62680558123550467</v>
      </c>
      <c r="P20" s="65">
        <v>1.0445632745746374</v>
      </c>
      <c r="Q20" s="35" t="e">
        <f>AVERAGE('[1]Industry Averages'!$H20,'[1]Industry Averages'!$L20:$P20)</f>
        <v>#REF!</v>
      </c>
    </row>
    <row r="21" spans="1:17">
      <c r="A21" s="63" t="s">
        <v>167</v>
      </c>
      <c r="B21" s="64">
        <v>27</v>
      </c>
      <c r="C21" s="65">
        <v>1.213678059</v>
      </c>
      <c r="D21" s="66">
        <v>0.98452115136008556</v>
      </c>
      <c r="E21" s="66">
        <v>0.13307208100000001</v>
      </c>
      <c r="F21" s="65">
        <f t="shared" si="0"/>
        <v>0.69816177964858017</v>
      </c>
      <c r="G21" s="66">
        <v>4.3531967353815586E-2</v>
      </c>
      <c r="H21" s="65">
        <f t="shared" si="1"/>
        <v>0.72993739029315097</v>
      </c>
      <c r="I21" s="67">
        <v>0.43127670400000001</v>
      </c>
      <c r="J21" s="66">
        <v>0.32651548200000002</v>
      </c>
      <c r="K21" s="68">
        <v>0.27526347354047098</v>
      </c>
      <c r="L21" s="65">
        <v>0.83335997520152549</v>
      </c>
      <c r="M21" s="65">
        <v>0.75366375204082192</v>
      </c>
      <c r="N21" s="69">
        <v>0.70004004147168253</v>
      </c>
      <c r="O21" s="65">
        <v>0.65097820976724075</v>
      </c>
      <c r="P21" s="65">
        <v>0.50865466473151821</v>
      </c>
      <c r="Q21" s="35" t="e">
        <f>AVERAGE('[1]Industry Averages'!$H21,'[1]Industry Averages'!$L21:$P21)</f>
        <v>#REF!</v>
      </c>
    </row>
    <row r="22" spans="1:17">
      <c r="A22" s="63" t="s">
        <v>168</v>
      </c>
      <c r="B22" s="64">
        <v>39</v>
      </c>
      <c r="C22" s="65">
        <v>1.460916203</v>
      </c>
      <c r="D22" s="66">
        <v>2.6838752918628042</v>
      </c>
      <c r="E22" s="66">
        <v>0.12827924800000001</v>
      </c>
      <c r="F22" s="65">
        <f t="shared" si="0"/>
        <v>0.48488601225473132</v>
      </c>
      <c r="G22" s="66">
        <v>0.145837689209806</v>
      </c>
      <c r="H22" s="65">
        <f t="shared" si="1"/>
        <v>0.56767432387195649</v>
      </c>
      <c r="I22" s="67">
        <v>0.44006909</v>
      </c>
      <c r="J22" s="66">
        <v>0.273615777</v>
      </c>
      <c r="K22" s="68">
        <v>0.43738887409212207</v>
      </c>
      <c r="L22" s="65">
        <v>0.41140971762599865</v>
      </c>
      <c r="M22" s="65">
        <v>0.45570813127557197</v>
      </c>
      <c r="N22" s="65">
        <v>0.42127089286675984</v>
      </c>
      <c r="O22" s="65">
        <v>0.5441746682636267</v>
      </c>
      <c r="P22" s="65">
        <v>0.45767101776631969</v>
      </c>
      <c r="Q22" s="35" t="e">
        <f>AVERAGE('[1]Industry Averages'!$H22,'[1]Industry Averages'!$L22:$P22)</f>
        <v>#REF!</v>
      </c>
    </row>
    <row r="23" spans="1:17">
      <c r="A23" s="63" t="s">
        <v>169</v>
      </c>
      <c r="B23" s="64">
        <v>42</v>
      </c>
      <c r="C23" s="65">
        <v>1.2316485930000001</v>
      </c>
      <c r="D23" s="66">
        <v>0.32074077926033157</v>
      </c>
      <c r="E23" s="66">
        <v>0.16263942000000001</v>
      </c>
      <c r="F23" s="65">
        <f t="shared" si="0"/>
        <v>0.99282015932463707</v>
      </c>
      <c r="G23" s="66">
        <v>2.524333322082891E-2</v>
      </c>
      <c r="H23" s="65">
        <f t="shared" si="1"/>
        <v>1.0185312839204805</v>
      </c>
      <c r="I23" s="67">
        <v>0.35884150399999998</v>
      </c>
      <c r="J23" s="66">
        <v>0.30778449400000002</v>
      </c>
      <c r="K23" s="68">
        <v>0.58022216617182909</v>
      </c>
      <c r="L23" s="65">
        <v>0.92777357812635386</v>
      </c>
      <c r="M23" s="65">
        <v>0.98035236187052655</v>
      </c>
      <c r="N23" s="69">
        <v>0.86952940068313167</v>
      </c>
      <c r="O23" s="65">
        <v>0.98593416861192995</v>
      </c>
      <c r="P23" s="65">
        <v>0.9149343033203543</v>
      </c>
      <c r="Q23" s="35" t="e">
        <f>AVERAGE('[1]Industry Averages'!$H23,'[1]Industry Averages'!$L23:$P23)</f>
        <v>#REF!</v>
      </c>
    </row>
    <row r="24" spans="1:17">
      <c r="A24" s="63" t="s">
        <v>170</v>
      </c>
      <c r="B24" s="64">
        <v>165</v>
      </c>
      <c r="C24" s="65">
        <v>1.065922206</v>
      </c>
      <c r="D24" s="66">
        <v>0.30305348477375454</v>
      </c>
      <c r="E24" s="66">
        <v>8.3169501000000007E-2</v>
      </c>
      <c r="F24" s="65">
        <f t="shared" si="0"/>
        <v>0.86851690093912282</v>
      </c>
      <c r="G24" s="66">
        <v>2.9467103116509973E-2</v>
      </c>
      <c r="H24" s="65">
        <f t="shared" si="1"/>
        <v>0.89488661716469986</v>
      </c>
      <c r="I24" s="67">
        <v>0.53305604200000001</v>
      </c>
      <c r="J24" s="66">
        <v>0.43797296699999999</v>
      </c>
      <c r="K24" s="68">
        <v>0.25855603290223578</v>
      </c>
      <c r="L24" s="65">
        <v>0.99626205437001558</v>
      </c>
      <c r="M24" s="65">
        <v>0.94982697833182328</v>
      </c>
      <c r="N24" s="65">
        <v>0.84914430528676288</v>
      </c>
      <c r="O24" s="65">
        <v>1.0067303638556147</v>
      </c>
      <c r="P24" s="65">
        <v>1.0001911265533716</v>
      </c>
      <c r="Q24" s="35" t="e">
        <f>AVERAGE('[1]Industry Averages'!$H24,'[1]Industry Averages'!$L24:$P24)</f>
        <v>#REF!</v>
      </c>
    </row>
    <row r="25" spans="1:17">
      <c r="A25" s="63" t="s">
        <v>171</v>
      </c>
      <c r="B25" s="64">
        <v>14</v>
      </c>
      <c r="C25" s="65">
        <v>1.1145650039999999</v>
      </c>
      <c r="D25" s="66">
        <v>0.60171917179526391</v>
      </c>
      <c r="E25" s="66">
        <v>0.14548892199999999</v>
      </c>
      <c r="F25" s="65">
        <f t="shared" si="0"/>
        <v>0.76798260928906392</v>
      </c>
      <c r="G25" s="66">
        <v>1.1106847904356249E-2</v>
      </c>
      <c r="H25" s="65">
        <f t="shared" si="1"/>
        <v>0.77660827932883303</v>
      </c>
      <c r="I25" s="67">
        <v>0.329430057</v>
      </c>
      <c r="J25" s="66">
        <v>0.25027460600000001</v>
      </c>
      <c r="K25" s="68">
        <v>0.33146309821429532</v>
      </c>
      <c r="L25" s="65">
        <v>0.695488281788191</v>
      </c>
      <c r="M25" s="65">
        <v>0.88527678728100334</v>
      </c>
      <c r="N25" s="69">
        <v>0.82024967067988608</v>
      </c>
      <c r="O25" s="65">
        <v>0.66746834478212691</v>
      </c>
      <c r="P25" s="65">
        <v>0.761515774451065</v>
      </c>
      <c r="Q25" s="35" t="e">
        <f>AVERAGE('[1]Industry Averages'!$H25,'[1]Industry Averages'!$L25:$P25)</f>
        <v>#REF!</v>
      </c>
    </row>
    <row r="26" spans="1:17">
      <c r="A26" s="63" t="s">
        <v>172</v>
      </c>
      <c r="B26" s="64">
        <v>43</v>
      </c>
      <c r="C26" s="65">
        <v>1.3668277090000001</v>
      </c>
      <c r="D26" s="66">
        <v>0.61086566400734899</v>
      </c>
      <c r="E26" s="66">
        <v>6.6647070000000003E-2</v>
      </c>
      <c r="F26" s="65">
        <f t="shared" si="0"/>
        <v>0.93737161053271922</v>
      </c>
      <c r="G26" s="66">
        <v>5.5979285767475288E-2</v>
      </c>
      <c r="H26" s="65">
        <f t="shared" si="1"/>
        <v>0.99295661249847555</v>
      </c>
      <c r="I26" s="67">
        <v>0.530539804</v>
      </c>
      <c r="J26" s="66">
        <v>0.51958372900000005</v>
      </c>
      <c r="K26" s="68">
        <v>0.77636215937984843</v>
      </c>
      <c r="L26" s="65">
        <v>0.75275873427303275</v>
      </c>
      <c r="M26" s="65">
        <v>0.80725696952017378</v>
      </c>
      <c r="N26" s="65">
        <v>0.67773522710338785</v>
      </c>
      <c r="O26" s="65">
        <v>0.96489988547058825</v>
      </c>
      <c r="P26" s="65">
        <v>1.1226945412373202</v>
      </c>
      <c r="Q26" s="35" t="e">
        <f>AVERAGE('[1]Industry Averages'!$H26,'[1]Industry Averages'!$L26:$P26)</f>
        <v>#REF!</v>
      </c>
    </row>
    <row r="27" spans="1:17">
      <c r="A27" s="63" t="s">
        <v>173</v>
      </c>
      <c r="B27" s="64">
        <v>6</v>
      </c>
      <c r="C27" s="65">
        <v>1.8528643010000001</v>
      </c>
      <c r="D27" s="66">
        <v>0.78660235560998026</v>
      </c>
      <c r="E27" s="66">
        <v>0.11893261099999999</v>
      </c>
      <c r="F27" s="65">
        <f t="shared" si="0"/>
        <v>1.1653588113788893</v>
      </c>
      <c r="G27" s="66">
        <v>4.0633122217121891E-2</v>
      </c>
      <c r="H27" s="65">
        <f t="shared" si="1"/>
        <v>1.2147165368811397</v>
      </c>
      <c r="I27" s="67">
        <v>0.50558069900000002</v>
      </c>
      <c r="J27" s="66">
        <v>0.35918607699999999</v>
      </c>
      <c r="K27" s="68">
        <v>0.38536699599893298</v>
      </c>
      <c r="L27" s="65">
        <v>0.98720384638737158</v>
      </c>
      <c r="M27" s="65">
        <v>1.2650470656106723</v>
      </c>
      <c r="N27" s="69">
        <v>1.2197952276165127</v>
      </c>
      <c r="O27" s="65">
        <v>1.7946860305975219</v>
      </c>
      <c r="P27" s="65">
        <v>1.4913554180375088</v>
      </c>
      <c r="Q27" s="35" t="e">
        <f>AVERAGE('[1]Industry Averages'!$H27,'[1]Industry Averages'!$L27:$P27)</f>
        <v>#REF!</v>
      </c>
    </row>
    <row r="28" spans="1:17">
      <c r="A28" s="63" t="s">
        <v>174</v>
      </c>
      <c r="B28" s="64">
        <v>94</v>
      </c>
      <c r="C28" s="65">
        <v>1.1351903860000001</v>
      </c>
      <c r="D28" s="66">
        <v>0.28526388510536249</v>
      </c>
      <c r="E28" s="66">
        <v>0.110084529</v>
      </c>
      <c r="F28" s="65">
        <f t="shared" si="0"/>
        <v>0.93512281133989872</v>
      </c>
      <c r="G28" s="66">
        <v>3.0817292133716281E-2</v>
      </c>
      <c r="H28" s="65">
        <f t="shared" si="1"/>
        <v>0.96485709428166544</v>
      </c>
      <c r="I28" s="67">
        <v>0.48179664900000002</v>
      </c>
      <c r="J28" s="66">
        <v>0.48361232900000001</v>
      </c>
      <c r="K28" s="68">
        <v>0.25218066954914642</v>
      </c>
      <c r="L28" s="65">
        <v>0.91281078989702846</v>
      </c>
      <c r="M28" s="65">
        <v>1.0143943542009635</v>
      </c>
      <c r="N28" s="65">
        <v>0.98150332845382071</v>
      </c>
      <c r="O28" s="65">
        <v>0.94849956435812488</v>
      </c>
      <c r="P28" s="65">
        <v>0.98902378999477181</v>
      </c>
      <c r="Q28" s="35" t="e">
        <f>AVERAGE('[1]Industry Averages'!$H28,'[1]Industry Averages'!$L28:$P28)</f>
        <v>#REF!</v>
      </c>
    </row>
    <row r="29" spans="1:17">
      <c r="A29" s="63" t="s">
        <v>175</v>
      </c>
      <c r="B29" s="64">
        <v>22</v>
      </c>
      <c r="C29" s="65">
        <v>1.3959042749999999</v>
      </c>
      <c r="D29" s="66">
        <v>0.79691125056019507</v>
      </c>
      <c r="E29" s="66">
        <v>9.6783930000000004E-3</v>
      </c>
      <c r="F29" s="65">
        <f t="shared" si="0"/>
        <v>0.87370516703683099</v>
      </c>
      <c r="G29" s="66">
        <v>0.16684003289212912</v>
      </c>
      <c r="H29" s="65">
        <f t="shared" si="1"/>
        <v>1.0486643640232785</v>
      </c>
      <c r="I29" s="67">
        <v>0.65696000099999996</v>
      </c>
      <c r="J29" s="66">
        <v>0.54709193</v>
      </c>
      <c r="K29" s="68">
        <v>3.1272915604426297</v>
      </c>
      <c r="L29" s="65">
        <v>0.83200776824179257</v>
      </c>
      <c r="M29" s="65">
        <v>0.38687819831720366</v>
      </c>
      <c r="N29" s="69">
        <v>0.6054033794571696</v>
      </c>
      <c r="O29" s="65">
        <v>1.0423911214911201</v>
      </c>
      <c r="P29" s="65">
        <v>0.96728429164799401</v>
      </c>
      <c r="Q29" s="35" t="e">
        <f>AVERAGE('[1]Industry Averages'!$H29,'[1]Industry Averages'!$L29:$P29)</f>
        <v>#REF!</v>
      </c>
    </row>
    <row r="30" spans="1:17">
      <c r="A30" s="63" t="s">
        <v>176</v>
      </c>
      <c r="B30" s="64">
        <v>106</v>
      </c>
      <c r="C30" s="65">
        <v>1.2030223950000001</v>
      </c>
      <c r="D30" s="66">
        <v>0.44645141396955212</v>
      </c>
      <c r="E30" s="66">
        <v>8.9215305999999994E-2</v>
      </c>
      <c r="F30" s="65">
        <f t="shared" si="0"/>
        <v>0.901249357502795</v>
      </c>
      <c r="G30" s="66">
        <v>5.4170148574305015E-2</v>
      </c>
      <c r="H30" s="65">
        <f t="shared" si="1"/>
        <v>0.95286626462920188</v>
      </c>
      <c r="I30" s="67">
        <v>0.57296893900000001</v>
      </c>
      <c r="J30" s="66">
        <v>0.45521436300000001</v>
      </c>
      <c r="K30" s="68">
        <v>0.1041944366088811</v>
      </c>
      <c r="L30" s="65">
        <v>0.98577000251683544</v>
      </c>
      <c r="M30" s="65">
        <v>0.9999471342974805</v>
      </c>
      <c r="N30" s="65">
        <v>0.83071218729754093</v>
      </c>
      <c r="O30" s="65">
        <v>0.94403176532379973</v>
      </c>
      <c r="P30" s="65">
        <v>1.0462592460215911</v>
      </c>
      <c r="Q30" s="35" t="e">
        <f>AVERAGE('[1]Industry Averages'!$H30,'[1]Industry Averages'!$L30:$P30)</f>
        <v>#REF!</v>
      </c>
    </row>
    <row r="31" spans="1:17">
      <c r="A31" s="63" t="s">
        <v>177</v>
      </c>
      <c r="B31" s="64">
        <v>48</v>
      </c>
      <c r="C31" s="65">
        <v>1.748007023</v>
      </c>
      <c r="D31" s="66">
        <v>0.15490864983832148</v>
      </c>
      <c r="E31" s="66">
        <v>6.2123291999999997E-2</v>
      </c>
      <c r="F31" s="65">
        <f t="shared" si="0"/>
        <v>1.5660598592304631</v>
      </c>
      <c r="G31" s="66">
        <v>4.5133974740081358E-2</v>
      </c>
      <c r="H31" s="65">
        <f t="shared" si="1"/>
        <v>1.6400833392351297</v>
      </c>
      <c r="I31" s="67">
        <v>0.53484956699999997</v>
      </c>
      <c r="J31" s="66">
        <v>0.50405888700000001</v>
      </c>
      <c r="K31" s="68">
        <v>0.25642576075287488</v>
      </c>
      <c r="L31" s="65">
        <v>1.1719433135682924</v>
      </c>
      <c r="M31" s="65">
        <v>1.2196782510882951</v>
      </c>
      <c r="N31" s="69">
        <v>0.94376849596593182</v>
      </c>
      <c r="O31" s="65">
        <v>0.92832562744044655</v>
      </c>
      <c r="P31" s="65">
        <v>1.4982789281613096</v>
      </c>
      <c r="Q31" s="35" t="e">
        <f>AVERAGE('[1]Industry Averages'!$H31,'[1]Industry Averages'!$L31:$P31)</f>
        <v>#REF!</v>
      </c>
    </row>
    <row r="32" spans="1:17">
      <c r="A32" s="63" t="s">
        <v>178</v>
      </c>
      <c r="B32" s="64">
        <v>44</v>
      </c>
      <c r="C32" s="65">
        <v>1.363622994</v>
      </c>
      <c r="D32" s="66">
        <v>0.4013740580769638</v>
      </c>
      <c r="E32" s="66">
        <v>0.15817335699999999</v>
      </c>
      <c r="F32" s="65">
        <f t="shared" si="0"/>
        <v>1.0481099008414634</v>
      </c>
      <c r="G32" s="66">
        <v>5.0278017826117252E-2</v>
      </c>
      <c r="H32" s="65">
        <f t="shared" si="1"/>
        <v>1.10359654774166</v>
      </c>
      <c r="I32" s="67">
        <v>0.359127101</v>
      </c>
      <c r="J32" s="66">
        <v>0.29907074300000003</v>
      </c>
      <c r="K32" s="68">
        <v>0.34007436232274291</v>
      </c>
      <c r="L32" s="65">
        <v>1.2210316717911434</v>
      </c>
      <c r="M32" s="65">
        <v>1.178961428130513</v>
      </c>
      <c r="N32" s="65">
        <v>1.0238598785072637</v>
      </c>
      <c r="O32" s="65">
        <v>0.9525776924015863</v>
      </c>
      <c r="P32" s="65">
        <v>1.1495970541250109</v>
      </c>
      <c r="Q32" s="35" t="e">
        <f>AVERAGE('[1]Industry Averages'!$H32,'[1]Industry Averages'!$L32:$P32)</f>
        <v>#REF!</v>
      </c>
    </row>
    <row r="33" spans="1:17">
      <c r="A33" s="63" t="s">
        <v>179</v>
      </c>
      <c r="B33" s="64">
        <v>23</v>
      </c>
      <c r="C33" s="65">
        <v>1.4018521020000001</v>
      </c>
      <c r="D33" s="66">
        <v>0.31159422476904108</v>
      </c>
      <c r="E33" s="66">
        <v>6.6835280999999996E-2</v>
      </c>
      <c r="F33" s="65">
        <f t="shared" si="0"/>
        <v>1.1363030103017289</v>
      </c>
      <c r="G33" s="66">
        <v>8.9852913690663769E-2</v>
      </c>
      <c r="H33" s="65">
        <f t="shared" si="1"/>
        <v>1.2484828302966493</v>
      </c>
      <c r="I33" s="67">
        <v>0.49543310499999998</v>
      </c>
      <c r="J33" s="66">
        <v>0.38156955399999998</v>
      </c>
      <c r="K33" s="68">
        <v>0.23751158558798896</v>
      </c>
      <c r="L33" s="65">
        <v>0.69927787654312112</v>
      </c>
      <c r="M33" s="65">
        <v>0.73570562914411197</v>
      </c>
      <c r="N33" s="69">
        <v>0.62930627237198311</v>
      </c>
      <c r="O33" s="65">
        <v>1.0135440097808579</v>
      </c>
      <c r="P33" s="65">
        <v>1.1438090814341535</v>
      </c>
      <c r="Q33" s="35" t="e">
        <f>AVERAGE('[1]Industry Averages'!$H33,'[1]Industry Averages'!$L33:$P33)</f>
        <v>#REF!</v>
      </c>
    </row>
    <row r="34" spans="1:17">
      <c r="A34" s="63" t="s">
        <v>180</v>
      </c>
      <c r="B34" s="64">
        <v>503</v>
      </c>
      <c r="C34" s="65">
        <v>1.4334516639999999</v>
      </c>
      <c r="D34" s="66">
        <v>0.14582369730647177</v>
      </c>
      <c r="E34" s="66">
        <v>6.0965699999999999E-3</v>
      </c>
      <c r="F34" s="65">
        <f t="shared" si="0"/>
        <v>1.292133861207839</v>
      </c>
      <c r="G34" s="66">
        <v>6.985398019781601E-2</v>
      </c>
      <c r="H34" s="65">
        <f t="shared" si="1"/>
        <v>1.3891731337867141</v>
      </c>
      <c r="I34" s="67">
        <v>0.59377752500000003</v>
      </c>
      <c r="J34" s="66">
        <v>0.67447285999999995</v>
      </c>
      <c r="K34" s="68">
        <v>0.39146852791574888</v>
      </c>
      <c r="L34" s="65">
        <v>1.06164550005946</v>
      </c>
      <c r="M34" s="65">
        <v>1.1948507312665528</v>
      </c>
      <c r="N34" s="65">
        <v>1.2459331067907498</v>
      </c>
      <c r="O34" s="65">
        <v>1.356530917137498</v>
      </c>
      <c r="P34" s="65">
        <v>1.4307835597315306</v>
      </c>
      <c r="Q34" s="35" t="e">
        <f>AVERAGE('[1]Industry Averages'!$H34,'[1]Industry Averages'!$L34:$P34)</f>
        <v>#REF!</v>
      </c>
    </row>
    <row r="35" spans="1:17">
      <c r="A35" s="63" t="s">
        <v>181</v>
      </c>
      <c r="B35" s="64">
        <v>267</v>
      </c>
      <c r="C35" s="65">
        <v>1.3615909020000001</v>
      </c>
      <c r="D35" s="66">
        <v>0.14930581290677752</v>
      </c>
      <c r="E35" s="66">
        <v>1.3589926E-2</v>
      </c>
      <c r="F35" s="65">
        <f t="shared" si="0"/>
        <v>1.2244749780173352</v>
      </c>
      <c r="G35" s="66">
        <v>4.7588534995774368E-2</v>
      </c>
      <c r="H35" s="65">
        <f t="shared" si="1"/>
        <v>1.2856575366949226</v>
      </c>
      <c r="I35" s="67">
        <v>0.677678734</v>
      </c>
      <c r="J35" s="66">
        <v>0.77136651300000003</v>
      </c>
      <c r="K35" s="68">
        <v>6.0866977656059466E-2</v>
      </c>
      <c r="L35" s="65">
        <v>0.94932153068365233</v>
      </c>
      <c r="M35" s="65">
        <v>0.93900977082358394</v>
      </c>
      <c r="N35" s="69">
        <v>0.92593131102031778</v>
      </c>
      <c r="O35" s="65">
        <v>1.1295686400812541</v>
      </c>
      <c r="P35" s="65">
        <v>1.3790871702678402</v>
      </c>
      <c r="Q35" s="35" t="e">
        <f>AVERAGE('[1]Industry Averages'!$H35,'[1]Industry Averages'!$L35:$P35)</f>
        <v>#REF!</v>
      </c>
    </row>
    <row r="36" spans="1:17">
      <c r="A36" s="63" t="s">
        <v>182</v>
      </c>
      <c r="B36" s="64">
        <v>35</v>
      </c>
      <c r="C36" s="65">
        <v>1.6056034619999999</v>
      </c>
      <c r="D36" s="66">
        <v>0.33679805016449205</v>
      </c>
      <c r="E36" s="66">
        <v>6.5591273000000005E-2</v>
      </c>
      <c r="F36" s="65">
        <f t="shared" si="0"/>
        <v>1.2818180875784899</v>
      </c>
      <c r="G36" s="66">
        <v>5.4716644048869417E-2</v>
      </c>
      <c r="H36" s="65">
        <f t="shared" si="1"/>
        <v>1.3560146590000444</v>
      </c>
      <c r="I36" s="67">
        <v>0.60374084900000002</v>
      </c>
      <c r="J36" s="66">
        <v>0.37644069299999999</v>
      </c>
      <c r="K36" s="68">
        <v>0.27599002741574036</v>
      </c>
      <c r="L36" s="65">
        <v>0.94681558011311995</v>
      </c>
      <c r="M36" s="65">
        <v>0.85929643152261603</v>
      </c>
      <c r="N36" s="65">
        <v>1.0467335023136517</v>
      </c>
      <c r="O36" s="65">
        <v>0.95816165213647664</v>
      </c>
      <c r="P36" s="65">
        <v>1.1083755117525074</v>
      </c>
      <c r="Q36" s="35" t="e">
        <f>AVERAGE('[1]Industry Averages'!$H36,'[1]Industry Averages'!$L36:$P36)</f>
        <v>#REF!</v>
      </c>
    </row>
    <row r="37" spans="1:17">
      <c r="A37" s="63" t="s">
        <v>183</v>
      </c>
      <c r="B37" s="64">
        <v>113</v>
      </c>
      <c r="C37" s="65">
        <v>1.444743618</v>
      </c>
      <c r="D37" s="66">
        <v>0.20995941271748184</v>
      </c>
      <c r="E37" s="66">
        <v>3.9412746999999998E-2</v>
      </c>
      <c r="F37" s="65">
        <f t="shared" si="0"/>
        <v>1.2481914587684928</v>
      </c>
      <c r="G37" s="66">
        <v>4.5081898947413171E-2</v>
      </c>
      <c r="H37" s="65">
        <f t="shared" si="1"/>
        <v>1.307118859086069</v>
      </c>
      <c r="I37" s="67">
        <v>0.63636210800000004</v>
      </c>
      <c r="J37" s="66">
        <v>0.53671661199999998</v>
      </c>
      <c r="K37" s="68">
        <v>0.17235176321929854</v>
      </c>
      <c r="L37" s="65">
        <v>1.1429175647542409</v>
      </c>
      <c r="M37" s="65">
        <v>1.0305869828588605</v>
      </c>
      <c r="N37" s="69">
        <v>1.0350924136130288</v>
      </c>
      <c r="O37" s="65">
        <v>1.0244695712358811</v>
      </c>
      <c r="P37" s="65">
        <v>1.1823979253907428</v>
      </c>
      <c r="Q37" s="35" t="e">
        <f>AVERAGE('[1]Industry Averages'!$H37,'[1]Industry Averages'!$L37:$P37)</f>
        <v>#REF!</v>
      </c>
    </row>
    <row r="38" spans="1:17">
      <c r="A38" s="63" t="s">
        <v>184</v>
      </c>
      <c r="B38" s="64">
        <v>20</v>
      </c>
      <c r="C38" s="65">
        <v>1.2754168990000001</v>
      </c>
      <c r="D38" s="66">
        <v>0.20667707794153262</v>
      </c>
      <c r="E38" s="66">
        <v>5.4515738000000001E-2</v>
      </c>
      <c r="F38" s="65">
        <f t="shared" si="0"/>
        <v>1.1042495900567082</v>
      </c>
      <c r="G38" s="66">
        <v>0.11716135960262057</v>
      </c>
      <c r="H38" s="65">
        <f t="shared" si="1"/>
        <v>1.2507943575732801</v>
      </c>
      <c r="I38" s="67">
        <v>0.54798047100000002</v>
      </c>
      <c r="J38" s="66">
        <v>0.62170468000000001</v>
      </c>
      <c r="K38" s="68">
        <v>2.9969910802533319</v>
      </c>
      <c r="L38" s="65">
        <v>1.3785902435694062</v>
      </c>
      <c r="M38" s="65">
        <v>1.164240864957417</v>
      </c>
      <c r="N38" s="65">
        <v>0.97133804664494106</v>
      </c>
      <c r="O38" s="65">
        <v>1.0791543873676892</v>
      </c>
      <c r="P38" s="65">
        <v>1.2240277060430294</v>
      </c>
      <c r="Q38" s="35" t="e">
        <f>AVERAGE('[1]Industry Averages'!$H38,'[1]Industry Averages'!$L38:$P38)</f>
        <v>#REF!</v>
      </c>
    </row>
    <row r="39" spans="1:17">
      <c r="A39" s="63" t="s">
        <v>185</v>
      </c>
      <c r="B39" s="64">
        <v>153</v>
      </c>
      <c r="C39" s="65">
        <v>1.1509581369999999</v>
      </c>
      <c r="D39" s="66">
        <v>0.1823772120848963</v>
      </c>
      <c r="E39" s="66">
        <v>6.6475008000000002E-2</v>
      </c>
      <c r="F39" s="65">
        <f t="shared" si="0"/>
        <v>1.0124695998007247</v>
      </c>
      <c r="G39" s="66">
        <v>5.4580964037110428E-2</v>
      </c>
      <c r="H39" s="65">
        <f t="shared" si="1"/>
        <v>1.070921529276746</v>
      </c>
      <c r="I39" s="67">
        <v>0.50530662599999998</v>
      </c>
      <c r="J39" s="66">
        <v>0.42778592900000001</v>
      </c>
      <c r="K39" s="68">
        <v>0.27821479785771169</v>
      </c>
      <c r="L39" s="65">
        <v>1.0143380182516697</v>
      </c>
      <c r="M39" s="65">
        <v>0.97977327153557281</v>
      </c>
      <c r="N39" s="69">
        <v>0.82585920724887107</v>
      </c>
      <c r="O39" s="65">
        <v>0.91332212369413268</v>
      </c>
      <c r="P39" s="65">
        <v>0.96066030351745013</v>
      </c>
      <c r="Q39" s="35" t="e">
        <f>AVERAGE('[1]Industry Averages'!$H39,'[1]Industry Averages'!$L39:$P39)</f>
        <v>#REF!</v>
      </c>
    </row>
    <row r="40" spans="1:17">
      <c r="A40" s="63" t="s">
        <v>186</v>
      </c>
      <c r="B40" s="64">
        <v>54</v>
      </c>
      <c r="C40" s="65">
        <v>1.5972992109999999</v>
      </c>
      <c r="D40" s="66">
        <v>0.39271549390339217</v>
      </c>
      <c r="E40" s="66">
        <v>9.4414994000000002E-2</v>
      </c>
      <c r="F40" s="65">
        <f t="shared" si="0"/>
        <v>1.2338771926532777</v>
      </c>
      <c r="G40" s="66">
        <v>6.8798549493350875E-2</v>
      </c>
      <c r="H40" s="65">
        <f t="shared" si="1"/>
        <v>1.3250378765861548</v>
      </c>
      <c r="I40" s="67">
        <v>0.51051909699999998</v>
      </c>
      <c r="J40" s="66">
        <v>0.33192732400000002</v>
      </c>
      <c r="K40" s="68">
        <v>0.14788028666531586</v>
      </c>
      <c r="L40" s="65">
        <v>1.1909553905213561</v>
      </c>
      <c r="M40" s="65">
        <v>1.0654127428021691</v>
      </c>
      <c r="N40" s="65">
        <v>1.0094288297404486</v>
      </c>
      <c r="O40" s="65">
        <v>1.1280526539619411</v>
      </c>
      <c r="P40" s="65">
        <v>0.81015878396309304</v>
      </c>
      <c r="Q40" s="35" t="e">
        <f>AVERAGE('[1]Industry Averages'!$H40,'[1]Industry Averages'!$L40:$P40)</f>
        <v>#REF!</v>
      </c>
    </row>
    <row r="41" spans="1:17">
      <c r="A41" s="63" t="s">
        <v>187</v>
      </c>
      <c r="B41" s="64">
        <v>107</v>
      </c>
      <c r="C41" s="65">
        <v>1.3331870219999999</v>
      </c>
      <c r="D41" s="66">
        <v>0.20065811120017565</v>
      </c>
      <c r="E41" s="66">
        <v>1.9337215000000001E-2</v>
      </c>
      <c r="F41" s="65">
        <f t="shared" si="0"/>
        <v>1.1587957040663728</v>
      </c>
      <c r="G41" s="66">
        <v>3.5705438075325988E-2</v>
      </c>
      <c r="H41" s="65">
        <f t="shared" si="1"/>
        <v>1.2017030374551592</v>
      </c>
      <c r="I41" s="67">
        <v>0.68446864100000004</v>
      </c>
      <c r="J41" s="66">
        <v>0.55572440400000001</v>
      </c>
      <c r="K41" s="68">
        <v>0.34418239082051971</v>
      </c>
      <c r="L41" s="65">
        <v>0.98610681685636126</v>
      </c>
      <c r="M41" s="65">
        <v>0.97829234899628914</v>
      </c>
      <c r="N41" s="69">
        <v>0.96578988276543765</v>
      </c>
      <c r="O41" s="65">
        <v>0.95716683157974236</v>
      </c>
      <c r="P41" s="65">
        <v>1.2140124334135816</v>
      </c>
      <c r="Q41" s="35" t="e">
        <f>AVERAGE('[1]Industry Averages'!$H41,'[1]Industry Averages'!$L41:$P41)</f>
        <v>#REF!</v>
      </c>
    </row>
    <row r="42" spans="1:17">
      <c r="A42" s="63" t="s">
        <v>188</v>
      </c>
      <c r="B42" s="64">
        <v>82</v>
      </c>
      <c r="C42" s="65">
        <v>1.2685057959999999</v>
      </c>
      <c r="D42" s="66">
        <v>0.31687381793497077</v>
      </c>
      <c r="E42" s="66">
        <v>4.1371107999999997E-2</v>
      </c>
      <c r="F42" s="65">
        <f t="shared" si="0"/>
        <v>1.0249265130340848</v>
      </c>
      <c r="G42" s="66">
        <v>2.2492503227944584E-2</v>
      </c>
      <c r="H42" s="65">
        <f t="shared" si="1"/>
        <v>1.0485101305295534</v>
      </c>
      <c r="I42" s="67">
        <v>0.62414860299999997</v>
      </c>
      <c r="J42" s="66">
        <v>0.44335314300000001</v>
      </c>
      <c r="K42" s="68">
        <v>0.1309875284312817</v>
      </c>
      <c r="L42" s="65">
        <v>0.9416297085134433</v>
      </c>
      <c r="M42" s="65">
        <v>0.82195580918899658</v>
      </c>
      <c r="N42" s="65">
        <v>0.62801576352857125</v>
      </c>
      <c r="O42" s="65">
        <v>0.69977481842592981</v>
      </c>
      <c r="P42" s="65">
        <v>0.96017519579922372</v>
      </c>
      <c r="Q42" s="35" t="e">
        <f>AVERAGE('[1]Industry Averages'!$H42,'[1]Industry Averages'!$L42:$P42)</f>
        <v>#REF!</v>
      </c>
    </row>
    <row r="43" spans="1:17">
      <c r="A43" s="63" t="s">
        <v>189</v>
      </c>
      <c r="B43" s="64">
        <v>31</v>
      </c>
      <c r="C43" s="65">
        <v>0.89362508299999999</v>
      </c>
      <c r="D43" s="66">
        <v>0.62389379695565883</v>
      </c>
      <c r="E43" s="66">
        <v>5.9148997000000002E-2</v>
      </c>
      <c r="F43" s="65">
        <f t="shared" si="0"/>
        <v>0.60876946381319419</v>
      </c>
      <c r="G43" s="66">
        <v>2.9773926325140265E-2</v>
      </c>
      <c r="H43" s="65">
        <f t="shared" si="1"/>
        <v>0.62745114806840763</v>
      </c>
      <c r="I43" s="67">
        <v>0.49563547400000002</v>
      </c>
      <c r="J43" s="66">
        <v>0.46876047700000001</v>
      </c>
      <c r="K43" s="68">
        <v>0.25135060202298498</v>
      </c>
      <c r="L43" s="65">
        <v>0.57909430928918826</v>
      </c>
      <c r="M43" s="65">
        <v>0.77419510664876223</v>
      </c>
      <c r="N43" s="69">
        <v>0.61582042547062832</v>
      </c>
      <c r="O43" s="65">
        <v>0.55737082155423068</v>
      </c>
      <c r="P43" s="65">
        <v>0.49587806644422544</v>
      </c>
      <c r="Q43" s="35" t="e">
        <f>AVERAGE('[1]Industry Averages'!$H43,'[1]Industry Averages'!$L43:$P43)</f>
        <v>#REF!</v>
      </c>
    </row>
    <row r="44" spans="1:17">
      <c r="A44" s="63" t="s">
        <v>190</v>
      </c>
      <c r="B44" s="64">
        <v>232</v>
      </c>
      <c r="C44" s="65">
        <v>0.732438335</v>
      </c>
      <c r="D44" s="66">
        <v>8.8221364219655136</v>
      </c>
      <c r="E44" s="66">
        <v>0.14417444400000001</v>
      </c>
      <c r="F44" s="65">
        <f t="shared" si="0"/>
        <v>9.6163394722052278E-2</v>
      </c>
      <c r="G44" s="66">
        <v>2.1368573992165019E-2</v>
      </c>
      <c r="H44" s="65">
        <f t="shared" si="1"/>
        <v>9.826313785398752E-2</v>
      </c>
      <c r="I44" s="67">
        <v>0.27495121900000002</v>
      </c>
      <c r="J44" s="66">
        <v>0.25703304100000002</v>
      </c>
      <c r="K44" s="68">
        <v>0.51967392099345833</v>
      </c>
      <c r="L44" s="65">
        <v>6.3207362763439523E-2</v>
      </c>
      <c r="M44" s="65">
        <v>5.58494718753152E-2</v>
      </c>
      <c r="N44" s="65">
        <v>6.7631146451552882E-2</v>
      </c>
      <c r="O44" s="65">
        <v>7.0289080325756217E-2</v>
      </c>
      <c r="P44" s="65">
        <v>7.5615335031345252E-2</v>
      </c>
      <c r="Q44" s="35" t="e">
        <f>AVERAGE('[1]Industry Averages'!$H44,'[1]Industry Averages'!$L44:$P44)</f>
        <v>#REF!</v>
      </c>
    </row>
    <row r="45" spans="1:17">
      <c r="A45" s="63" t="s">
        <v>191</v>
      </c>
      <c r="B45" s="64">
        <v>88</v>
      </c>
      <c r="C45" s="65">
        <v>0.87532183900000005</v>
      </c>
      <c r="D45" s="66">
        <v>0.37377326276066641</v>
      </c>
      <c r="E45" s="66">
        <v>6.4442920000000001E-2</v>
      </c>
      <c r="F45" s="65">
        <f t="shared" si="0"/>
        <v>0.68366895658639271</v>
      </c>
      <c r="G45" s="66">
        <v>1.8856394718605229E-2</v>
      </c>
      <c r="H45" s="65">
        <f t="shared" si="1"/>
        <v>0.69680824795297369</v>
      </c>
      <c r="I45" s="67">
        <v>0.50936026700000003</v>
      </c>
      <c r="J45" s="66">
        <v>0.31529091999999997</v>
      </c>
      <c r="K45" s="68">
        <v>0.20151470629839774</v>
      </c>
      <c r="L45" s="65">
        <v>0.82365294067176009</v>
      </c>
      <c r="M45" s="65">
        <v>0.7416481757000527</v>
      </c>
      <c r="N45" s="69">
        <v>0.62945787807798448</v>
      </c>
      <c r="O45" s="65">
        <v>0.55631901720276644</v>
      </c>
      <c r="P45" s="65">
        <v>0.61142199192503821</v>
      </c>
      <c r="Q45" s="35" t="e">
        <f>AVERAGE('[1]Industry Averages'!$H45,'[1]Industry Averages'!$L45:$P45)</f>
        <v>#REF!</v>
      </c>
    </row>
    <row r="46" spans="1:17">
      <c r="A46" s="63" t="s">
        <v>192</v>
      </c>
      <c r="B46" s="64">
        <v>17</v>
      </c>
      <c r="C46" s="65">
        <v>0.86802289899999996</v>
      </c>
      <c r="D46" s="66">
        <v>0.43953703976673969</v>
      </c>
      <c r="E46" s="66">
        <v>7.7881901000000003E-2</v>
      </c>
      <c r="F46" s="65">
        <f t="shared" si="0"/>
        <v>0.65281922632027856</v>
      </c>
      <c r="G46" s="66">
        <v>7.5208290908834489E-3</v>
      </c>
      <c r="H46" s="65">
        <f t="shared" si="1"/>
        <v>0.65776617329136733</v>
      </c>
      <c r="I46" s="67">
        <v>0.47871628399999999</v>
      </c>
      <c r="J46" s="66">
        <v>0.31580572000000001</v>
      </c>
      <c r="K46" s="68">
        <v>0.20347234100815137</v>
      </c>
      <c r="L46" s="65">
        <v>1.257310037504739</v>
      </c>
      <c r="M46" s="65">
        <v>0.61083825745632381</v>
      </c>
      <c r="N46" s="65">
        <v>0.92782334432638702</v>
      </c>
      <c r="O46" s="65">
        <v>1.4147585160608243</v>
      </c>
      <c r="P46" s="65">
        <v>1.234429635135682</v>
      </c>
      <c r="Q46" s="35" t="e">
        <f>AVERAGE('[1]Industry Averages'!$H46,'[1]Industry Averages'!$L46:$P46)</f>
        <v>#REF!</v>
      </c>
    </row>
    <row r="47" spans="1:17">
      <c r="A47" s="63" t="s">
        <v>193</v>
      </c>
      <c r="B47" s="64">
        <v>35</v>
      </c>
      <c r="C47" s="65">
        <v>1.076595269</v>
      </c>
      <c r="D47" s="66">
        <v>0.48351511852799572</v>
      </c>
      <c r="E47" s="66">
        <v>8.1494560999999993E-2</v>
      </c>
      <c r="F47" s="65">
        <f t="shared" si="0"/>
        <v>0.79008260551179321</v>
      </c>
      <c r="G47" s="66">
        <v>3.4515168275545939E-2</v>
      </c>
      <c r="H47" s="65">
        <f t="shared" si="1"/>
        <v>0.81832731033239059</v>
      </c>
      <c r="I47" s="67">
        <v>0.46942648599999998</v>
      </c>
      <c r="J47" s="66">
        <v>0.43384310799999998</v>
      </c>
      <c r="K47" s="68">
        <v>0.32395637138474948</v>
      </c>
      <c r="L47" s="65">
        <v>0.92145392383388303</v>
      </c>
      <c r="M47" s="65">
        <v>1.003465779242618</v>
      </c>
      <c r="N47" s="69">
        <v>0.69319245782890693</v>
      </c>
      <c r="O47" s="65">
        <v>0.67368656968976759</v>
      </c>
      <c r="P47" s="65">
        <v>0.66780864677192153</v>
      </c>
      <c r="Q47" s="35" t="e">
        <f>AVERAGE('[1]Industry Averages'!$H47,'[1]Industry Averages'!$L47:$P47)</f>
        <v>#REF!</v>
      </c>
    </row>
    <row r="48" spans="1:17">
      <c r="A48" s="63" t="s">
        <v>194</v>
      </c>
      <c r="B48" s="64">
        <v>22</v>
      </c>
      <c r="C48" s="65">
        <v>1.0723318509999999</v>
      </c>
      <c r="D48" s="66">
        <v>1.1263522800436128</v>
      </c>
      <c r="E48" s="66">
        <v>1.5200708E-2</v>
      </c>
      <c r="F48" s="65">
        <f t="shared" si="0"/>
        <v>0.58128396310387354</v>
      </c>
      <c r="G48" s="66">
        <v>2.1033273532555442E-2</v>
      </c>
      <c r="H48" s="65">
        <f t="shared" si="1"/>
        <v>0.59377295201994196</v>
      </c>
      <c r="I48" s="67">
        <v>0.69785349100000005</v>
      </c>
      <c r="J48" s="66">
        <v>0.53761194999999995</v>
      </c>
      <c r="K48" s="68">
        <v>0.67577923695252207</v>
      </c>
      <c r="L48" s="65">
        <v>0.67626115243049012</v>
      </c>
      <c r="M48" s="65">
        <v>0.84213429384042704</v>
      </c>
      <c r="N48" s="65">
        <v>0.46860806206954692</v>
      </c>
      <c r="O48" s="65">
        <v>0.72015964506798358</v>
      </c>
      <c r="P48" s="65">
        <v>0.79876309391982148</v>
      </c>
      <c r="Q48" s="35" t="e">
        <f>AVERAGE('[1]Industry Averages'!$H48,'[1]Industry Averages'!$L48:$P48)</f>
        <v>#REF!</v>
      </c>
    </row>
    <row r="49" spans="1:17">
      <c r="A49" s="63" t="s">
        <v>195</v>
      </c>
      <c r="B49" s="64">
        <v>242</v>
      </c>
      <c r="C49" s="65">
        <v>1.0429687110000001</v>
      </c>
      <c r="D49" s="66">
        <v>0.13246485086547954</v>
      </c>
      <c r="E49" s="66">
        <v>3.5179033999999998E-2</v>
      </c>
      <c r="F49" s="65">
        <f t="shared" si="0"/>
        <v>0.94871515259796735</v>
      </c>
      <c r="G49" s="66">
        <v>3.3716542386654565E-2</v>
      </c>
      <c r="H49" s="65">
        <f t="shared" si="1"/>
        <v>0.98181868386863347</v>
      </c>
      <c r="I49" s="67">
        <v>0.53231478399999999</v>
      </c>
      <c r="J49" s="66">
        <v>0.53085684200000005</v>
      </c>
      <c r="K49" s="68">
        <v>0.15349486564146228</v>
      </c>
      <c r="L49" s="65">
        <v>0.90415545578260093</v>
      </c>
      <c r="M49" s="65">
        <v>0.91697354099694839</v>
      </c>
      <c r="N49" s="69">
        <v>0.9228608512768256</v>
      </c>
      <c r="O49" s="65">
        <v>0.88508346966591411</v>
      </c>
      <c r="P49" s="65">
        <v>1.0412420580286896</v>
      </c>
      <c r="Q49" s="35" t="e">
        <f>AVERAGE('[1]Industry Averages'!$H49,'[1]Industry Averages'!$L49:$P49)</f>
        <v>#REF!</v>
      </c>
    </row>
    <row r="50" spans="1:17">
      <c r="A50" s="63" t="s">
        <v>196</v>
      </c>
      <c r="B50" s="64">
        <v>128</v>
      </c>
      <c r="C50" s="65">
        <v>1.170318746</v>
      </c>
      <c r="D50" s="66">
        <v>0.39906274558464971</v>
      </c>
      <c r="E50" s="66">
        <v>8.2630010000000004E-2</v>
      </c>
      <c r="F50" s="65">
        <f t="shared" si="0"/>
        <v>0.90073223649944667</v>
      </c>
      <c r="G50" s="66">
        <v>4.8091461248442817E-2</v>
      </c>
      <c r="H50" s="65">
        <f t="shared" si="1"/>
        <v>0.94623821494528337</v>
      </c>
      <c r="I50" s="67">
        <v>0.54144543099999998</v>
      </c>
      <c r="J50" s="66">
        <v>0.49954532800000001</v>
      </c>
      <c r="K50" s="68">
        <v>0.22253564450661717</v>
      </c>
      <c r="L50" s="65">
        <v>0.90781339687443441</v>
      </c>
      <c r="M50" s="65">
        <v>0.8905148234023309</v>
      </c>
      <c r="N50" s="65">
        <v>0.81830647974267279</v>
      </c>
      <c r="O50" s="65">
        <v>0.82382035475319326</v>
      </c>
      <c r="P50" s="65">
        <v>1.0266507370055664</v>
      </c>
      <c r="Q50" s="35" t="e">
        <f>AVERAGE('[1]Industry Averages'!$H50,'[1]Industry Averages'!$L50:$P50)</f>
        <v>#REF!</v>
      </c>
    </row>
    <row r="51" spans="1:17">
      <c r="A51" s="63" t="s">
        <v>197</v>
      </c>
      <c r="B51" s="64">
        <v>129</v>
      </c>
      <c r="C51" s="65">
        <v>1.2449195799999999</v>
      </c>
      <c r="D51" s="66">
        <v>0.1466681354351527</v>
      </c>
      <c r="E51" s="66">
        <v>3.8353670999999999E-2</v>
      </c>
      <c r="F51" s="65">
        <f t="shared" si="0"/>
        <v>1.1215480581343851</v>
      </c>
      <c r="G51" s="66">
        <v>2.7022959325748871E-2</v>
      </c>
      <c r="H51" s="65">
        <f t="shared" si="1"/>
        <v>1.152697351786613</v>
      </c>
      <c r="I51" s="67">
        <v>0.54924877100000002</v>
      </c>
      <c r="J51" s="66">
        <v>0.53864013700000002</v>
      </c>
      <c r="K51" s="68">
        <v>0.31296137585567896</v>
      </c>
      <c r="L51" s="65">
        <v>0.83631590420874902</v>
      </c>
      <c r="M51" s="65">
        <v>0.98673088276303866</v>
      </c>
      <c r="N51" s="69">
        <v>0.8312183856595623</v>
      </c>
      <c r="O51" s="65">
        <v>0.8837080124216079</v>
      </c>
      <c r="P51" s="65">
        <v>1.1770734443491222</v>
      </c>
      <c r="Q51" s="35" t="e">
        <f>AVERAGE('[1]Industry Averages'!$H51,'[1]Industry Averages'!$L51:$P51)</f>
        <v>#REF!</v>
      </c>
    </row>
    <row r="52" spans="1:17">
      <c r="A52" s="63" t="s">
        <v>198</v>
      </c>
      <c r="B52" s="64">
        <v>32</v>
      </c>
      <c r="C52" s="65">
        <v>0.82768248799999999</v>
      </c>
      <c r="D52" s="66">
        <v>0.44202823176540651</v>
      </c>
      <c r="E52" s="66">
        <v>0.170167344</v>
      </c>
      <c r="F52" s="65">
        <f t="shared" si="0"/>
        <v>0.62160670387459316</v>
      </c>
      <c r="G52" s="66">
        <v>6.3924044660464308E-2</v>
      </c>
      <c r="H52" s="65">
        <f t="shared" si="1"/>
        <v>0.66405583898276987</v>
      </c>
      <c r="I52" s="67">
        <v>0.39903844199999999</v>
      </c>
      <c r="J52" s="66">
        <v>0.36550677300000001</v>
      </c>
      <c r="K52" s="68">
        <v>0.89898267579837277</v>
      </c>
      <c r="L52" s="65">
        <v>0.92037789137930404</v>
      </c>
      <c r="M52" s="65">
        <v>0.81073152617680166</v>
      </c>
      <c r="N52" s="65">
        <v>0.76800042762641452</v>
      </c>
      <c r="O52" s="65">
        <v>0.89482816266964527</v>
      </c>
      <c r="P52" s="65">
        <v>0.72461491658678878</v>
      </c>
      <c r="Q52" s="35" t="e">
        <f>AVERAGE('[1]Industry Averages'!$H52,'[1]Industry Averages'!$L52:$P52)</f>
        <v>#REF!</v>
      </c>
    </row>
    <row r="53" spans="1:17">
      <c r="A53" s="63" t="s">
        <v>199</v>
      </c>
      <c r="B53" s="64">
        <v>36</v>
      </c>
      <c r="C53" s="65">
        <v>1.2217365659999999</v>
      </c>
      <c r="D53" s="66">
        <v>1.3018089033748177</v>
      </c>
      <c r="E53" s="66">
        <v>7.4975072000000004E-2</v>
      </c>
      <c r="F53" s="65">
        <f t="shared" si="0"/>
        <v>0.61817615205277965</v>
      </c>
      <c r="G53" s="66">
        <v>1.1807355793748069E-2</v>
      </c>
      <c r="H53" s="65">
        <f t="shared" si="1"/>
        <v>0.62556238975986156</v>
      </c>
      <c r="I53" s="67">
        <v>0.49051596200000003</v>
      </c>
      <c r="J53" s="66">
        <v>0.426320967</v>
      </c>
      <c r="K53" s="68">
        <v>0.21414577708085686</v>
      </c>
      <c r="L53" s="65">
        <v>0.58888594415237006</v>
      </c>
      <c r="M53" s="65">
        <v>0.44125508081978904</v>
      </c>
      <c r="N53" s="69">
        <v>0.4451956659198778</v>
      </c>
      <c r="O53" s="65">
        <v>0.5122854446277495</v>
      </c>
      <c r="P53" s="65">
        <v>0.55219511182946646</v>
      </c>
      <c r="Q53" s="35" t="e">
        <f>AVERAGE('[1]Industry Averages'!$H53,'[1]Industry Averages'!$L53:$P53)</f>
        <v>#REF!</v>
      </c>
    </row>
    <row r="54" spans="1:17">
      <c r="A54" s="63" t="s">
        <v>200</v>
      </c>
      <c r="B54" s="64">
        <v>65</v>
      </c>
      <c r="C54" s="65">
        <v>1.2616103949999999</v>
      </c>
      <c r="D54" s="66">
        <v>0.56410072131938649</v>
      </c>
      <c r="E54" s="66">
        <v>0.12518879699999999</v>
      </c>
      <c r="F54" s="65">
        <f t="shared" si="0"/>
        <v>0.88653789532686034</v>
      </c>
      <c r="G54" s="66">
        <v>3.0517679905529636E-2</v>
      </c>
      <c r="H54" s="65">
        <f t="shared" si="1"/>
        <v>0.91444462364251522</v>
      </c>
      <c r="I54" s="67">
        <v>0.39991595899999999</v>
      </c>
      <c r="J54" s="66">
        <v>0.34103357200000001</v>
      </c>
      <c r="K54" s="68">
        <v>0.33575862758905656</v>
      </c>
      <c r="L54" s="65">
        <v>0.82845001279130992</v>
      </c>
      <c r="M54" s="65">
        <v>0.67915578788885134</v>
      </c>
      <c r="N54" s="65">
        <v>0.66749176385887621</v>
      </c>
      <c r="O54" s="65">
        <v>0.74415946232869168</v>
      </c>
      <c r="P54" s="65">
        <v>0.71171194651767145</v>
      </c>
      <c r="Q54" s="35" t="e">
        <f>AVERAGE('[1]Industry Averages'!$H54,'[1]Industry Averages'!$L54:$P54)</f>
        <v>#REF!</v>
      </c>
    </row>
    <row r="55" spans="1:17">
      <c r="A55" s="63" t="s">
        <v>201</v>
      </c>
      <c r="B55" s="64">
        <v>127</v>
      </c>
      <c r="C55" s="65">
        <v>1.0300080739999999</v>
      </c>
      <c r="D55" s="66">
        <v>0.17172697592588718</v>
      </c>
      <c r="E55" s="66">
        <v>5.9312673000000003E-2</v>
      </c>
      <c r="F55" s="65">
        <f t="shared" si="0"/>
        <v>0.91248443017052006</v>
      </c>
      <c r="G55" s="66">
        <v>2.6223386947001409E-2</v>
      </c>
      <c r="H55" s="65">
        <f t="shared" si="1"/>
        <v>0.93705724489488984</v>
      </c>
      <c r="I55" s="67">
        <v>0.60927579700000001</v>
      </c>
      <c r="J55" s="66">
        <v>0.509069047</v>
      </c>
      <c r="K55" s="68">
        <v>3.4873437995683716E-2</v>
      </c>
      <c r="L55" s="65">
        <v>0.91008254050766557</v>
      </c>
      <c r="M55" s="65">
        <v>0.9149796629650655</v>
      </c>
      <c r="N55" s="69">
        <v>0.68817620468484997</v>
      </c>
      <c r="O55" s="65">
        <v>0.87926933287734055</v>
      </c>
      <c r="P55" s="65">
        <v>0.99725066748303448</v>
      </c>
      <c r="Q55" s="35" t="e">
        <f>AVERAGE('[1]Industry Averages'!$H55,'[1]Industry Averages'!$L55:$P55)</f>
        <v>#REF!</v>
      </c>
    </row>
    <row r="56" spans="1:17">
      <c r="A56" s="63" t="s">
        <v>202</v>
      </c>
      <c r="B56" s="64">
        <v>69</v>
      </c>
      <c r="C56" s="65">
        <v>1.093128707</v>
      </c>
      <c r="D56" s="66">
        <v>0.11886624777168864</v>
      </c>
      <c r="E56" s="66">
        <v>8.3368273000000007E-2</v>
      </c>
      <c r="F56" s="65">
        <f t="shared" si="0"/>
        <v>1.003653328117343</v>
      </c>
      <c r="G56" s="66">
        <v>2.7011284108999865E-2</v>
      </c>
      <c r="H56" s="65">
        <f t="shared" si="1"/>
        <v>1.0315158970762186</v>
      </c>
      <c r="I56" s="67">
        <v>0.455634292</v>
      </c>
      <c r="J56" s="66">
        <v>0.37797649100000003</v>
      </c>
      <c r="K56" s="68">
        <v>0.33783173697294661</v>
      </c>
      <c r="L56" s="65">
        <v>1.0445512586642061</v>
      </c>
      <c r="M56" s="65">
        <v>0.91756695796828625</v>
      </c>
      <c r="N56" s="65">
        <v>0.87020396713009684</v>
      </c>
      <c r="O56" s="65">
        <v>0.82102604136194945</v>
      </c>
      <c r="P56" s="65">
        <v>1.0476147604347601</v>
      </c>
      <c r="Q56" s="35" t="e">
        <f>AVERAGE('[1]Industry Averages'!$H56,'[1]Industry Averages'!$L56:$P56)</f>
        <v>#REF!</v>
      </c>
    </row>
    <row r="57" spans="1:17">
      <c r="A57" s="63" t="s">
        <v>203</v>
      </c>
      <c r="B57" s="64">
        <v>19</v>
      </c>
      <c r="C57" s="65">
        <v>0.74262552999999998</v>
      </c>
      <c r="D57" s="66">
        <v>0.4141390803519886</v>
      </c>
      <c r="E57" s="66">
        <v>0.16098088899999999</v>
      </c>
      <c r="F57" s="65">
        <f t="shared" si="0"/>
        <v>0.56662832876721958</v>
      </c>
      <c r="G57" s="66">
        <v>4.3986817360134114E-2</v>
      </c>
      <c r="H57" s="65">
        <f t="shared" si="1"/>
        <v>0.59269928391842142</v>
      </c>
      <c r="I57" s="67">
        <v>0.27915327699999998</v>
      </c>
      <c r="J57" s="66">
        <v>0.31001992499999997</v>
      </c>
      <c r="K57" s="68">
        <v>0.39833013982472643</v>
      </c>
      <c r="L57" s="65">
        <v>0.80387143324202071</v>
      </c>
      <c r="M57" s="65">
        <v>0.81929059452472941</v>
      </c>
      <c r="N57" s="69">
        <v>0.71443841745032044</v>
      </c>
      <c r="O57" s="65">
        <v>0.63161786013410837</v>
      </c>
      <c r="P57" s="65">
        <v>0.67179161955338684</v>
      </c>
      <c r="Q57" s="35" t="e">
        <f>AVERAGE('[1]Industry Averages'!$H57,'[1]Industry Averages'!$L57:$P57)</f>
        <v>#REF!</v>
      </c>
    </row>
    <row r="58" spans="1:17">
      <c r="A58" s="63" t="s">
        <v>204</v>
      </c>
      <c r="B58" s="64">
        <v>24</v>
      </c>
      <c r="C58" s="65">
        <v>1.0761501120000001</v>
      </c>
      <c r="D58" s="66">
        <v>0.97499562970313036</v>
      </c>
      <c r="E58" s="66">
        <v>0.147770448</v>
      </c>
      <c r="F58" s="65">
        <f t="shared" si="0"/>
        <v>0.62160412964386225</v>
      </c>
      <c r="G58" s="66">
        <v>0.15137117435158079</v>
      </c>
      <c r="H58" s="65">
        <f t="shared" si="1"/>
        <v>0.73248057437703429</v>
      </c>
      <c r="I58" s="67">
        <v>0.22356712000000001</v>
      </c>
      <c r="J58" s="66">
        <v>0.25128205300000001</v>
      </c>
      <c r="K58" s="68">
        <v>0.28466270233149293</v>
      </c>
      <c r="L58" s="65">
        <v>0.75380071860751052</v>
      </c>
      <c r="M58" s="65">
        <v>0.91067854389207092</v>
      </c>
      <c r="N58" s="65">
        <v>0.8021499989307056</v>
      </c>
      <c r="O58" s="65">
        <v>0.80519497929401429</v>
      </c>
      <c r="P58" s="65">
        <v>0.70335628063826439</v>
      </c>
      <c r="Q58" s="35" t="e">
        <f>AVERAGE('[1]Industry Averages'!$H58,'[1]Industry Averages'!$L58:$P58)</f>
        <v>#REF!</v>
      </c>
    </row>
    <row r="59" spans="1:17">
      <c r="A59" s="63" t="s">
        <v>205</v>
      </c>
      <c r="B59" s="64">
        <v>51</v>
      </c>
      <c r="C59" s="65">
        <v>0.67828556100000004</v>
      </c>
      <c r="D59" s="66">
        <v>0.26359147645094072</v>
      </c>
      <c r="E59" s="66">
        <v>0.14033321100000001</v>
      </c>
      <c r="F59" s="65">
        <f t="shared" si="0"/>
        <v>0.56632644346114913</v>
      </c>
      <c r="G59" s="66">
        <v>3.8611748033582222E-2</v>
      </c>
      <c r="H59" s="65">
        <f t="shared" si="1"/>
        <v>0.58907152474849622</v>
      </c>
      <c r="I59" s="67">
        <v>0.22537259600000001</v>
      </c>
      <c r="J59" s="66">
        <v>0.217098126</v>
      </c>
      <c r="K59" s="68">
        <v>0.23862455446901132</v>
      </c>
      <c r="L59" s="65">
        <v>0.69292392753575749</v>
      </c>
      <c r="M59" s="65">
        <v>0.75385679969929598</v>
      </c>
      <c r="N59" s="69">
        <v>0.7008266669001918</v>
      </c>
      <c r="O59" s="65">
        <v>0.72774299007849574</v>
      </c>
      <c r="P59" s="65">
        <v>0.65115065979406583</v>
      </c>
      <c r="Q59" s="35" t="e">
        <f>AVERAGE('[1]Industry Averages'!$H59,'[1]Industry Averages'!$L59:$P59)</f>
        <v>#REF!</v>
      </c>
    </row>
    <row r="60" spans="1:17">
      <c r="A60" s="63" t="s">
        <v>206</v>
      </c>
      <c r="B60" s="64">
        <v>192</v>
      </c>
      <c r="C60" s="65">
        <v>1.027293808</v>
      </c>
      <c r="D60" s="66">
        <v>0.54405192168290151</v>
      </c>
      <c r="E60" s="66">
        <v>7.4740315000000002E-2</v>
      </c>
      <c r="F60" s="65">
        <f t="shared" si="0"/>
        <v>0.72959190111540995</v>
      </c>
      <c r="G60" s="66">
        <v>0.15181765193878138</v>
      </c>
      <c r="H60" s="65">
        <f t="shared" si="1"/>
        <v>0.86018284014412283</v>
      </c>
      <c r="I60" s="67">
        <v>0.31484158000000001</v>
      </c>
      <c r="J60" s="66">
        <v>0.27875895899999997</v>
      </c>
      <c r="K60" s="68">
        <v>0.23411115041700242</v>
      </c>
      <c r="L60" s="65">
        <v>0.72867523802687462</v>
      </c>
      <c r="M60" s="65">
        <v>0.80698183301141047</v>
      </c>
      <c r="N60" s="65">
        <v>0.67569470993802794</v>
      </c>
      <c r="O60" s="65">
        <v>0.86690937652117939</v>
      </c>
      <c r="P60" s="65">
        <v>0.86668447411796701</v>
      </c>
      <c r="Q60" s="35" t="e">
        <f>AVERAGE('[1]Industry Averages'!$H60,'[1]Industry Averages'!$L60:$P60)</f>
        <v>#REF!</v>
      </c>
    </row>
    <row r="61" spans="1:17">
      <c r="A61" s="63" t="s">
        <v>207</v>
      </c>
      <c r="B61" s="64">
        <v>120</v>
      </c>
      <c r="C61" s="65">
        <v>1.247017093</v>
      </c>
      <c r="D61" s="66">
        <v>0.23859350044337482</v>
      </c>
      <c r="E61" s="66">
        <v>0.123234383</v>
      </c>
      <c r="F61" s="65">
        <f t="shared" si="0"/>
        <v>1.0577397252889684</v>
      </c>
      <c r="G61" s="66">
        <v>3.7123854756441657E-2</v>
      </c>
      <c r="H61" s="65">
        <f t="shared" si="1"/>
        <v>1.0985210616277283</v>
      </c>
      <c r="I61" s="67">
        <v>0.42741158499999998</v>
      </c>
      <c r="J61" s="66">
        <v>0.35391696499999997</v>
      </c>
      <c r="K61" s="68">
        <v>0.22545739203264761</v>
      </c>
      <c r="L61" s="65">
        <v>1.1123629253138949</v>
      </c>
      <c r="M61" s="65">
        <v>1.2286140493062305</v>
      </c>
      <c r="N61" s="69">
        <v>0.93146084205407687</v>
      </c>
      <c r="O61" s="65">
        <v>1.0376808387746204</v>
      </c>
      <c r="P61" s="65">
        <v>1.0121653053546547</v>
      </c>
      <c r="Q61" s="35" t="e">
        <f>AVERAGE('[1]Industry Averages'!$H61,'[1]Industry Averages'!$L61:$P61)</f>
        <v>#REF!</v>
      </c>
    </row>
    <row r="62" spans="1:17">
      <c r="A62" s="63" t="s">
        <v>208</v>
      </c>
      <c r="B62" s="64">
        <v>92</v>
      </c>
      <c r="C62" s="65">
        <v>1.310283238</v>
      </c>
      <c r="D62" s="66">
        <v>0.38209651543088957</v>
      </c>
      <c r="E62" s="66">
        <v>1.9590181000000002E-2</v>
      </c>
      <c r="F62" s="65">
        <f t="shared" si="0"/>
        <v>1.0184294732844279</v>
      </c>
      <c r="G62" s="66">
        <v>6.2713484801824732E-2</v>
      </c>
      <c r="H62" s="65">
        <f t="shared" si="1"/>
        <v>1.0865722025981523</v>
      </c>
      <c r="I62" s="67">
        <v>0.66087554100000001</v>
      </c>
      <c r="J62" s="66">
        <v>0.732549534</v>
      </c>
      <c r="K62" s="68">
        <v>0.40449333386316461</v>
      </c>
      <c r="L62" s="65">
        <v>0.90515750563570641</v>
      </c>
      <c r="M62" s="65">
        <v>0.87412275998567224</v>
      </c>
      <c r="N62" s="65">
        <v>0.88779982496284104</v>
      </c>
      <c r="O62" s="65">
        <v>0.96016218423880206</v>
      </c>
      <c r="P62" s="65">
        <v>1.1094422701693822</v>
      </c>
      <c r="Q62" s="35" t="e">
        <f>AVERAGE('[1]Industry Averages'!$H62,'[1]Industry Averages'!$L62:$P62)</f>
        <v>#REF!</v>
      </c>
    </row>
    <row r="63" spans="1:17">
      <c r="A63" s="63" t="s">
        <v>209</v>
      </c>
      <c r="B63" s="64">
        <v>22</v>
      </c>
      <c r="C63" s="65">
        <v>1.6452790129999999</v>
      </c>
      <c r="D63" s="66">
        <v>0.54881060202147713</v>
      </c>
      <c r="E63" s="66">
        <v>0.152902867</v>
      </c>
      <c r="F63" s="65">
        <f t="shared" si="0"/>
        <v>1.1655353819967667</v>
      </c>
      <c r="G63" s="66">
        <v>6.3249625484823727E-2</v>
      </c>
      <c r="H63" s="65">
        <f t="shared" si="1"/>
        <v>1.2442326298508288</v>
      </c>
      <c r="I63" s="67">
        <v>0.43434708100000002</v>
      </c>
      <c r="J63" s="66">
        <v>0.31279621499999999</v>
      </c>
      <c r="K63" s="68">
        <v>0.11339231893421772</v>
      </c>
      <c r="L63" s="65">
        <v>0.99913957031235989</v>
      </c>
      <c r="M63" s="65">
        <v>1.2940648547983142</v>
      </c>
      <c r="N63" s="69">
        <v>1.094913266181017</v>
      </c>
      <c r="O63" s="65">
        <v>1.0984143438538143</v>
      </c>
      <c r="P63" s="65">
        <v>1.3336679465607404</v>
      </c>
      <c r="Q63" s="35" t="e">
        <f>AVERAGE('[1]Industry Averages'!$H63,'[1]Industry Averages'!$L63:$P63)</f>
        <v>#REF!</v>
      </c>
    </row>
    <row r="64" spans="1:17">
      <c r="A64" s="63" t="s">
        <v>210</v>
      </c>
      <c r="B64" s="64">
        <v>4</v>
      </c>
      <c r="C64" s="65">
        <v>1.3006455690000001</v>
      </c>
      <c r="D64" s="66">
        <v>0.26819184776617705</v>
      </c>
      <c r="E64" s="66">
        <v>0.24542439499999999</v>
      </c>
      <c r="F64" s="65">
        <f t="shared" si="0"/>
        <v>1.0828391039155607</v>
      </c>
      <c r="G64" s="66">
        <v>3.0987129380001706E-2</v>
      </c>
      <c r="H64" s="65">
        <f t="shared" si="1"/>
        <v>1.1174661727895663</v>
      </c>
      <c r="I64" s="67">
        <v>0.35900885799999999</v>
      </c>
      <c r="J64" s="66">
        <v>0.28622403400000002</v>
      </c>
      <c r="K64" s="68">
        <v>0.68865217159538195</v>
      </c>
      <c r="L64" s="65">
        <v>0.76428600647835043</v>
      </c>
      <c r="M64" s="65">
        <v>1.3768945488985402</v>
      </c>
      <c r="N64" s="65">
        <v>0.94523624792936756</v>
      </c>
      <c r="O64" s="65">
        <v>1.2507640353953937</v>
      </c>
      <c r="P64" s="65">
        <v>1.0556071646429179</v>
      </c>
      <c r="Q64" s="35" t="e">
        <f>AVERAGE('[1]Industry Averages'!$H64,'[1]Industry Averages'!$L64:$P64)</f>
        <v>#REF!</v>
      </c>
    </row>
    <row r="65" spans="1:17">
      <c r="A65" s="63" t="s">
        <v>211</v>
      </c>
      <c r="B65" s="64">
        <v>269</v>
      </c>
      <c r="C65" s="65">
        <v>1.478219605</v>
      </c>
      <c r="D65" s="66">
        <v>0.56388742406962533</v>
      </c>
      <c r="E65" s="66">
        <v>3.7046849999999999E-2</v>
      </c>
      <c r="F65" s="65">
        <f t="shared" si="0"/>
        <v>1.038866703119627</v>
      </c>
      <c r="G65" s="66">
        <v>3.5147731551523551E-2</v>
      </c>
      <c r="H65" s="65">
        <f t="shared" si="1"/>
        <v>1.0767106396403761</v>
      </c>
      <c r="I65" s="67">
        <v>0.64047380200000004</v>
      </c>
      <c r="J65" s="66">
        <v>0.59365118699999997</v>
      </c>
      <c r="K65" s="68">
        <v>1.5187387681450697</v>
      </c>
      <c r="L65" s="65">
        <v>0.91418748660737614</v>
      </c>
      <c r="M65" s="65">
        <v>0.94743762340513227</v>
      </c>
      <c r="N65" s="69">
        <v>0.99198790067456866</v>
      </c>
      <c r="O65" s="65">
        <v>1.0036901148132051</v>
      </c>
      <c r="P65" s="65">
        <v>1.0743174544514105</v>
      </c>
      <c r="Q65" s="35" t="e">
        <f>AVERAGE('[1]Industry Averages'!$H65,'[1]Industry Averages'!$L65:$P65)</f>
        <v>#REF!</v>
      </c>
    </row>
    <row r="66" spans="1:17">
      <c r="A66" s="63" t="s">
        <v>212</v>
      </c>
      <c r="B66" s="64">
        <v>24</v>
      </c>
      <c r="C66" s="65">
        <v>1.016075276</v>
      </c>
      <c r="D66" s="66">
        <v>0.89690510548401725</v>
      </c>
      <c r="E66" s="66">
        <v>5.4572902999999999E-2</v>
      </c>
      <c r="F66" s="65">
        <f t="shared" si="0"/>
        <v>0.60745389868944766</v>
      </c>
      <c r="G66" s="66">
        <v>1.6299624587412496E-2</v>
      </c>
      <c r="H66" s="65">
        <f t="shared" si="1"/>
        <v>0.6175192303191579</v>
      </c>
      <c r="I66" s="67">
        <v>0.44221410700000002</v>
      </c>
      <c r="J66" s="66">
        <v>0.32657694300000001</v>
      </c>
      <c r="K66" s="68">
        <v>0.37581896071741061</v>
      </c>
      <c r="L66" s="65">
        <v>0.66899854629743982</v>
      </c>
      <c r="M66" s="65">
        <v>0.65372935713088309</v>
      </c>
      <c r="N66" s="65">
        <v>0.68903844183291452</v>
      </c>
      <c r="O66" s="65">
        <v>0.71646756268516709</v>
      </c>
      <c r="P66" s="65">
        <v>0.6231608561764338</v>
      </c>
      <c r="Q66" s="35" t="e">
        <f>AVERAGE('[1]Industry Averages'!$H66,'[1]Industry Averages'!$L66:$P66)</f>
        <v>#REF!</v>
      </c>
    </row>
    <row r="67" spans="1:17">
      <c r="A67" s="63" t="s">
        <v>213</v>
      </c>
      <c r="B67" s="64">
        <v>136</v>
      </c>
      <c r="C67" s="65">
        <v>1.57914625</v>
      </c>
      <c r="D67" s="66">
        <v>0.48652105369336984</v>
      </c>
      <c r="E67" s="66">
        <v>5.0552119E-2</v>
      </c>
      <c r="F67" s="65">
        <f t="shared" si="0"/>
        <v>1.1569762659821192</v>
      </c>
      <c r="G67" s="66">
        <v>5.0611916787940935E-2</v>
      </c>
      <c r="H67" s="65">
        <f t="shared" si="1"/>
        <v>1.2186547171181339</v>
      </c>
      <c r="I67" s="67">
        <v>0.58622540899999998</v>
      </c>
      <c r="J67" s="66">
        <v>0.53496989100000003</v>
      </c>
      <c r="K67" s="68">
        <v>0.46214343740097147</v>
      </c>
      <c r="L67" s="65">
        <v>1.3187768220793494</v>
      </c>
      <c r="M67" s="65">
        <v>1.410476112201879</v>
      </c>
      <c r="N67" s="69">
        <v>1.1096395487798727</v>
      </c>
      <c r="O67" s="65">
        <v>1.0558983129597594</v>
      </c>
      <c r="P67" s="65">
        <v>1.0668864769579942</v>
      </c>
      <c r="Q67" s="35" t="e">
        <f>AVERAGE('[1]Industry Averages'!$H67,'[1]Industry Averages'!$L67:$P67)</f>
        <v>#REF!</v>
      </c>
    </row>
    <row r="68" spans="1:17">
      <c r="A68" s="63" t="s">
        <v>214</v>
      </c>
      <c r="B68" s="64">
        <v>24</v>
      </c>
      <c r="C68" s="65">
        <v>0.99035691400000003</v>
      </c>
      <c r="D68" s="66">
        <v>0.65938174809441352</v>
      </c>
      <c r="E68" s="66">
        <v>0.121782498</v>
      </c>
      <c r="F68" s="65">
        <f t="shared" si="0"/>
        <v>0.66265162422880575</v>
      </c>
      <c r="G68" s="66">
        <v>2.2887789227185852E-2</v>
      </c>
      <c r="H68" s="65">
        <f t="shared" si="1"/>
        <v>0.67817351673939641</v>
      </c>
      <c r="I68" s="67">
        <v>0.38800815100000002</v>
      </c>
      <c r="J68" s="66">
        <v>0.331374104</v>
      </c>
      <c r="K68" s="68">
        <v>0.18685515382079271</v>
      </c>
      <c r="L68" s="65">
        <v>0.69510331969855443</v>
      </c>
      <c r="M68" s="65">
        <v>0.90706844247421869</v>
      </c>
      <c r="N68" s="65">
        <v>0.60469788408283676</v>
      </c>
      <c r="O68" s="65">
        <v>0.55106848014820298</v>
      </c>
      <c r="P68" s="65">
        <v>0.73705502274807633</v>
      </c>
      <c r="Q68" s="35" t="e">
        <f>AVERAGE('[1]Industry Averages'!$H68,'[1]Industry Averages'!$L68:$P68)</f>
        <v>#REF!</v>
      </c>
    </row>
    <row r="69" spans="1:17">
      <c r="A69" s="63" t="s">
        <v>215</v>
      </c>
      <c r="B69" s="64">
        <v>15</v>
      </c>
      <c r="C69" s="65">
        <v>1.5366649800000001</v>
      </c>
      <c r="D69" s="66">
        <v>0.39445965863735066</v>
      </c>
      <c r="E69" s="66">
        <v>0.104055131</v>
      </c>
      <c r="F69" s="65">
        <f t="shared" si="0"/>
        <v>1.1858403463386453</v>
      </c>
      <c r="G69" s="66">
        <v>5.4636304559727358E-2</v>
      </c>
      <c r="H69" s="65">
        <f t="shared" si="1"/>
        <v>1.2543747470505289</v>
      </c>
      <c r="I69" s="67">
        <v>0.47159823299999998</v>
      </c>
      <c r="J69" s="66">
        <v>0.373667154</v>
      </c>
      <c r="K69" s="68">
        <v>0.20521635635577182</v>
      </c>
      <c r="L69" s="65">
        <v>0.59499696779641253</v>
      </c>
      <c r="M69" s="65">
        <v>0.89356619047385455</v>
      </c>
      <c r="N69" s="69">
        <v>0.82676199858159016</v>
      </c>
      <c r="O69" s="65">
        <v>0.97753020034772831</v>
      </c>
      <c r="P69" s="65">
        <v>1.1728745712683208</v>
      </c>
      <c r="Q69" s="35" t="e">
        <f>AVERAGE('[1]Industry Averages'!$H69,'[1]Industry Averages'!$L69:$P69)</f>
        <v>#REF!</v>
      </c>
    </row>
    <row r="70" spans="1:17">
      <c r="A70" s="63" t="s">
        <v>216</v>
      </c>
      <c r="B70" s="64">
        <v>52</v>
      </c>
      <c r="C70" s="65">
        <v>0.57582877700000001</v>
      </c>
      <c r="D70" s="66">
        <v>0.72513148278486894</v>
      </c>
      <c r="E70" s="66">
        <v>0.132674867</v>
      </c>
      <c r="F70" s="65">
        <f t="shared" si="0"/>
        <v>0.37298266973273314</v>
      </c>
      <c r="G70" s="66">
        <v>1.4408615712447007E-2</v>
      </c>
      <c r="H70" s="65">
        <f t="shared" si="1"/>
        <v>0.37843539998307546</v>
      </c>
      <c r="I70" s="67">
        <v>0.22253055999999999</v>
      </c>
      <c r="J70" s="66">
        <v>0.18487223699999999</v>
      </c>
      <c r="K70" s="68">
        <v>7.9613840355504603E-2</v>
      </c>
      <c r="L70" s="65">
        <v>0.52852581356072703</v>
      </c>
      <c r="M70" s="65">
        <v>0.49888085289261619</v>
      </c>
      <c r="N70" s="65">
        <v>0.32719364961137615</v>
      </c>
      <c r="O70" s="65">
        <v>0.32493565540349184</v>
      </c>
      <c r="P70" s="65">
        <v>0.3460165075906414</v>
      </c>
      <c r="Q70" s="35" t="e">
        <f>AVERAGE('[1]Industry Averages'!$H70,'[1]Industry Averages'!$L70:$P70)</f>
        <v>#REF!</v>
      </c>
    </row>
    <row r="71" spans="1:17">
      <c r="A71" s="63" t="s">
        <v>217</v>
      </c>
      <c r="B71" s="64">
        <v>83</v>
      </c>
      <c r="C71" s="65">
        <v>1.4350731219999999</v>
      </c>
      <c r="D71" s="66">
        <v>0.18370552039047586</v>
      </c>
      <c r="E71" s="66">
        <v>1.7488117000000001E-2</v>
      </c>
      <c r="F71" s="65">
        <f t="shared" si="0"/>
        <v>1.2612932257051412</v>
      </c>
      <c r="G71" s="66">
        <v>5.3117262228557012E-2</v>
      </c>
      <c r="H71" s="65">
        <f t="shared" si="1"/>
        <v>1.3320479668619645</v>
      </c>
      <c r="I71" s="67">
        <v>0.72235006800000001</v>
      </c>
      <c r="J71" s="66">
        <v>0.82642641900000002</v>
      </c>
      <c r="K71" s="68">
        <v>0.69410614451431019</v>
      </c>
      <c r="L71" s="65">
        <v>1.0462116272315036</v>
      </c>
      <c r="M71" s="65">
        <v>1.0348311060447721</v>
      </c>
      <c r="N71" s="69">
        <v>1.1036721628723862</v>
      </c>
      <c r="O71" s="65">
        <v>0.94639980978395732</v>
      </c>
      <c r="P71" s="65">
        <v>1.1490747541483908</v>
      </c>
      <c r="Q71" s="35" t="e">
        <f>AVERAGE('[1]Industry Averages'!$H71,'[1]Industry Averages'!$L71:$P71)</f>
        <v>#REF!</v>
      </c>
    </row>
    <row r="72" spans="1:17">
      <c r="A72" s="63" t="s">
        <v>218</v>
      </c>
      <c r="B72" s="64">
        <v>31</v>
      </c>
      <c r="C72" s="65">
        <v>1.0675088150000001</v>
      </c>
      <c r="D72" s="66">
        <v>0.67568022039530995</v>
      </c>
      <c r="E72" s="66">
        <v>8.0958314000000003E-2</v>
      </c>
      <c r="F72" s="65">
        <f t="shared" si="0"/>
        <v>0.70847958393560806</v>
      </c>
      <c r="G72" s="66">
        <v>6.3828823918511343E-2</v>
      </c>
      <c r="H72" s="65">
        <f t="shared" si="1"/>
        <v>0.75678423138498629</v>
      </c>
      <c r="I72" s="67">
        <v>0.46077293400000002</v>
      </c>
      <c r="J72" s="66">
        <v>0.38178201</v>
      </c>
      <c r="K72" s="68">
        <v>8.9706707803724764E-2</v>
      </c>
      <c r="L72" s="65">
        <v>0.8829647997110236</v>
      </c>
      <c r="M72" s="65">
        <v>1.0689823736618371</v>
      </c>
      <c r="N72" s="65">
        <v>0.96202486776723917</v>
      </c>
      <c r="O72" s="65">
        <v>0.82623364138876865</v>
      </c>
      <c r="P72" s="65">
        <v>0.89788591137584506</v>
      </c>
      <c r="Q72" s="35" t="e">
        <f>AVERAGE('[1]Industry Averages'!$H72,'[1]Industry Averages'!$L72:$P72)</f>
        <v>#REF!</v>
      </c>
    </row>
    <row r="73" spans="1:17">
      <c r="A73" s="63" t="s">
        <v>219</v>
      </c>
      <c r="B73" s="64">
        <v>234</v>
      </c>
      <c r="C73" s="65">
        <v>0.68383933200000002</v>
      </c>
      <c r="D73" s="66">
        <v>0.84375868957253464</v>
      </c>
      <c r="E73" s="66">
        <v>1.9179893E-2</v>
      </c>
      <c r="F73" s="65">
        <f t="shared" si="0"/>
        <v>0.41880901974138707</v>
      </c>
      <c r="G73" s="66">
        <v>1.6003271523357159E-2</v>
      </c>
      <c r="H73" s="65">
        <f t="shared" si="1"/>
        <v>0.42562033756937268</v>
      </c>
      <c r="I73" s="67">
        <v>0.20334318900000001</v>
      </c>
      <c r="J73" s="66">
        <v>0.19856503</v>
      </c>
      <c r="K73" s="68">
        <v>0.32498152758056087</v>
      </c>
      <c r="L73" s="65">
        <v>0.42659422790766416</v>
      </c>
      <c r="M73" s="65">
        <v>0.41289220238853069</v>
      </c>
      <c r="N73" s="69">
        <v>0.41365814242478077</v>
      </c>
      <c r="O73" s="65">
        <v>0.421335920717823</v>
      </c>
      <c r="P73" s="65">
        <v>0.40946857953268101</v>
      </c>
      <c r="Q73" s="35" t="e">
        <f>AVERAGE('[1]Industry Averages'!$H73,'[1]Industry Averages'!$L73:$P73)</f>
        <v>#REF!</v>
      </c>
    </row>
    <row r="74" spans="1:17">
      <c r="A74" s="63" t="s">
        <v>220</v>
      </c>
      <c r="B74" s="64">
        <v>20</v>
      </c>
      <c r="C74" s="65">
        <v>1.2361501370000001</v>
      </c>
      <c r="D74" s="66">
        <v>0.70023741077399149</v>
      </c>
      <c r="E74" s="66">
        <v>2.1859481E-2</v>
      </c>
      <c r="F74" s="65">
        <f t="shared" si="0"/>
        <v>0.81049562079050075</v>
      </c>
      <c r="G74" s="66">
        <v>9.0428434516123535E-2</v>
      </c>
      <c r="H74" s="65">
        <f t="shared" si="1"/>
        <v>0.89107405238567561</v>
      </c>
      <c r="I74" s="67">
        <v>0.67073037000000002</v>
      </c>
      <c r="J74" s="66">
        <v>0.47223567599999999</v>
      </c>
      <c r="K74" s="68">
        <v>1.2813951168503652</v>
      </c>
      <c r="L74" s="65">
        <v>0.81886769624670608</v>
      </c>
      <c r="M74" s="65">
        <v>0.92994011768456197</v>
      </c>
      <c r="N74" s="65">
        <v>0.46927329356820202</v>
      </c>
      <c r="O74" s="65">
        <v>0.61355811294464702</v>
      </c>
      <c r="P74" s="65">
        <v>0.87103759301648254</v>
      </c>
      <c r="Q74" s="35" t="e">
        <f>AVERAGE('[1]Industry Averages'!$H74,'[1]Industry Averages'!$L74:$P74)</f>
        <v>#REF!</v>
      </c>
    </row>
    <row r="75" spans="1:17">
      <c r="A75" s="63" t="s">
        <v>221</v>
      </c>
      <c r="B75" s="64">
        <v>12</v>
      </c>
      <c r="C75" s="65">
        <v>1.6326053380000001</v>
      </c>
      <c r="D75" s="66">
        <v>0.45430460933062267</v>
      </c>
      <c r="E75" s="66">
        <v>6.5475746000000001E-2</v>
      </c>
      <c r="F75" s="65">
        <f t="shared" si="0"/>
        <v>1.2177002207110428</v>
      </c>
      <c r="G75" s="66">
        <v>0.18912988948868203</v>
      </c>
      <c r="H75" s="65">
        <f t="shared" si="1"/>
        <v>1.5017204419375949</v>
      </c>
      <c r="I75" s="67">
        <v>0.49898884500000001</v>
      </c>
      <c r="J75" s="66">
        <v>0.21349831699999999</v>
      </c>
      <c r="K75" s="68">
        <v>1.5807109945781048</v>
      </c>
      <c r="L75" s="65">
        <v>1.4749954561629794</v>
      </c>
      <c r="M75" s="65">
        <v>1.0263402703399036</v>
      </c>
      <c r="N75" s="69">
        <v>1.0942954893232755</v>
      </c>
      <c r="O75" s="65">
        <v>0.73331096910868621</v>
      </c>
      <c r="P75" s="65">
        <v>1.3273571545799101</v>
      </c>
      <c r="Q75" s="35" t="e">
        <f>AVERAGE('[1]Industry Averages'!$H75,'[1]Industry Averages'!$L75:$P75)</f>
        <v>#REF!</v>
      </c>
    </row>
    <row r="76" spans="1:17">
      <c r="A76" s="63" t="s">
        <v>222</v>
      </c>
      <c r="B76" s="64">
        <v>57</v>
      </c>
      <c r="C76" s="65">
        <v>0.93261337399999999</v>
      </c>
      <c r="D76" s="66">
        <v>0.58802447823281023</v>
      </c>
      <c r="E76" s="66">
        <v>5.5796461999999998E-2</v>
      </c>
      <c r="F76" s="65">
        <f t="shared" ref="F76:F106" si="2">IF($F$8="Effective",C76/(1+(1-E76)*D76),C76/(1+(1-$F$9)*D76))</f>
        <v>0.6471904874673361</v>
      </c>
      <c r="G76" s="66">
        <v>4.1266897294081062E-2</v>
      </c>
      <c r="H76" s="65">
        <f t="shared" ref="H76:H106" si="3">F76/(1-G76)</f>
        <v>0.67504760776561479</v>
      </c>
      <c r="I76" s="67">
        <v>0.52262093200000004</v>
      </c>
      <c r="J76" s="66">
        <v>0.39152207500000002</v>
      </c>
      <c r="K76" s="68">
        <v>0.39102034651953571</v>
      </c>
      <c r="L76" s="65">
        <v>0.89488907496725834</v>
      </c>
      <c r="M76" s="65">
        <v>0.99190805395484083</v>
      </c>
      <c r="N76" s="65">
        <v>0.615628642157243</v>
      </c>
      <c r="O76" s="65">
        <v>0.80185642216849129</v>
      </c>
      <c r="P76" s="65">
        <v>0.95287705840966175</v>
      </c>
      <c r="Q76" s="35" t="e">
        <f>AVERAGE('[1]Industry Averages'!$H76,'[1]Industry Averages'!$L76:$P76)</f>
        <v>#REF!</v>
      </c>
    </row>
    <row r="77" spans="1:17">
      <c r="A77" s="63" t="s">
        <v>223</v>
      </c>
      <c r="B77" s="64">
        <v>63</v>
      </c>
      <c r="C77" s="65">
        <v>0.90177487300000003</v>
      </c>
      <c r="D77" s="66">
        <v>0.33681752033705131</v>
      </c>
      <c r="E77" s="66">
        <v>8.2140500000000005E-2</v>
      </c>
      <c r="F77" s="65">
        <f t="shared" si="2"/>
        <v>0.71991490750130072</v>
      </c>
      <c r="G77" s="66">
        <v>4.524192951196656E-2</v>
      </c>
      <c r="H77" s="65">
        <f t="shared" si="3"/>
        <v>0.75402861704359259</v>
      </c>
      <c r="I77" s="67">
        <v>0.54289463599999999</v>
      </c>
      <c r="J77" s="66">
        <v>0.475304332</v>
      </c>
      <c r="K77" s="68">
        <v>0.28189168811135401</v>
      </c>
      <c r="L77" s="65">
        <v>0.986533653836145</v>
      </c>
      <c r="M77" s="65">
        <v>0.74786144631426577</v>
      </c>
      <c r="N77" s="69">
        <v>0.75955394281213184</v>
      </c>
      <c r="O77" s="65">
        <v>0.72607338801137411</v>
      </c>
      <c r="P77" s="65">
        <v>0.80923296728017891</v>
      </c>
      <c r="Q77" s="35" t="e">
        <f>AVERAGE('[1]Industry Averages'!$H77,'[1]Industry Averages'!$L77:$P77)</f>
        <v>#REF!</v>
      </c>
    </row>
    <row r="78" spans="1:17">
      <c r="A78" s="63" t="s">
        <v>224</v>
      </c>
      <c r="B78" s="64">
        <v>2</v>
      </c>
      <c r="C78" s="65">
        <v>0.81904634200000004</v>
      </c>
      <c r="D78" s="66">
        <v>0.29011798608038347</v>
      </c>
      <c r="E78" s="66">
        <v>0.17545712799999999</v>
      </c>
      <c r="F78" s="65">
        <f t="shared" si="2"/>
        <v>0.67267911040764305</v>
      </c>
      <c r="G78" s="66">
        <v>0.12622542091068087</v>
      </c>
      <c r="H78" s="65">
        <f t="shared" si="3"/>
        <v>0.76985429252100079</v>
      </c>
      <c r="I78" s="67">
        <v>0.12872909099999999</v>
      </c>
      <c r="J78" s="66">
        <v>0.14871563199999999</v>
      </c>
      <c r="K78" s="68">
        <v>0.26514986048826755</v>
      </c>
      <c r="L78" s="65">
        <v>1.1247782503169248</v>
      </c>
      <c r="M78" s="65">
        <v>0.89151933255027671</v>
      </c>
      <c r="N78" s="65">
        <v>0.6462241968853939</v>
      </c>
      <c r="O78" s="65">
        <v>0.46721027861075448</v>
      </c>
      <c r="P78" s="65">
        <v>0.8820173563179452</v>
      </c>
      <c r="Q78" s="35" t="e">
        <f>AVERAGE('[1]Industry Averages'!$H78,'[1]Industry Averages'!$L78:$P78)</f>
        <v>#REF!</v>
      </c>
    </row>
    <row r="79" spans="1:17">
      <c r="A79" s="63" t="s">
        <v>225</v>
      </c>
      <c r="B79" s="64">
        <v>77</v>
      </c>
      <c r="C79" s="65">
        <v>0.97298048000000004</v>
      </c>
      <c r="D79" s="66">
        <v>0.41654891523266158</v>
      </c>
      <c r="E79" s="66">
        <v>6.5675939000000003E-2</v>
      </c>
      <c r="F79" s="65">
        <f t="shared" si="2"/>
        <v>0.74136834505852767</v>
      </c>
      <c r="G79" s="66">
        <v>1.4001977571733439E-2</v>
      </c>
      <c r="H79" s="65">
        <f t="shared" si="3"/>
        <v>0.75189638132612358</v>
      </c>
      <c r="I79" s="67">
        <v>0.47419713699999999</v>
      </c>
      <c r="J79" s="66">
        <v>0.38756696200000001</v>
      </c>
      <c r="K79" s="68">
        <v>0.12927792531462476</v>
      </c>
      <c r="L79" s="65">
        <v>0.7392843693828145</v>
      </c>
      <c r="M79" s="65">
        <v>0.64108704213975221</v>
      </c>
      <c r="N79" s="69">
        <v>0.60883593821969884</v>
      </c>
      <c r="O79" s="65">
        <v>0.69579089837083374</v>
      </c>
      <c r="P79" s="65">
        <v>0.65106883994983511</v>
      </c>
      <c r="Q79" s="35" t="e">
        <f>AVERAGE('[1]Industry Averages'!$H79,'[1]Industry Averages'!$L79:$P79)</f>
        <v>#REF!</v>
      </c>
    </row>
    <row r="80" spans="1:17">
      <c r="A80" s="63" t="s">
        <v>226</v>
      </c>
      <c r="B80" s="64">
        <v>26</v>
      </c>
      <c r="C80" s="65">
        <v>1.332582621</v>
      </c>
      <c r="D80" s="66">
        <v>0.72871508652896988</v>
      </c>
      <c r="E80" s="66">
        <v>0.14041372099999999</v>
      </c>
      <c r="F80" s="65">
        <f t="shared" si="2"/>
        <v>0.86165621082682786</v>
      </c>
      <c r="G80" s="66">
        <v>7.9013640557808861E-3</v>
      </c>
      <c r="H80" s="65">
        <f t="shared" si="3"/>
        <v>0.86851869321114017</v>
      </c>
      <c r="I80" s="67">
        <v>0.46545638099999997</v>
      </c>
      <c r="J80" s="66">
        <v>0.373701271</v>
      </c>
      <c r="K80" s="68">
        <v>0.27354026646173024</v>
      </c>
      <c r="L80" s="65">
        <v>0.84629303675926026</v>
      </c>
      <c r="M80" s="65">
        <v>0.75515362761958049</v>
      </c>
      <c r="N80" s="65">
        <v>0.63087014027007171</v>
      </c>
      <c r="O80" s="65">
        <v>0.64728168498738969</v>
      </c>
      <c r="P80" s="65">
        <v>0.76099800140698393</v>
      </c>
      <c r="Q80" s="35" t="e">
        <f>AVERAGE('[1]Industry Averages'!$H80,'[1]Industry Averages'!$L80:$P80)</f>
        <v>#REF!</v>
      </c>
    </row>
    <row r="81" spans="1:17">
      <c r="A81" s="63" t="s">
        <v>227</v>
      </c>
      <c r="B81" s="64">
        <v>17</v>
      </c>
      <c r="C81" s="65">
        <v>1.358857744</v>
      </c>
      <c r="D81" s="66">
        <v>0.2571363309393101</v>
      </c>
      <c r="E81" s="66">
        <v>0.1489983</v>
      </c>
      <c r="F81" s="65">
        <f t="shared" si="2"/>
        <v>1.1391668549440168</v>
      </c>
      <c r="G81" s="66">
        <v>1.0255937735608572E-2</v>
      </c>
      <c r="H81" s="65">
        <f t="shared" si="3"/>
        <v>1.1509711433254448</v>
      </c>
      <c r="I81" s="67">
        <v>0.50416403799999998</v>
      </c>
      <c r="J81" s="66">
        <v>0.472945897</v>
      </c>
      <c r="K81" s="68">
        <v>0.29663902993772867</v>
      </c>
      <c r="L81" s="65">
        <v>1.2904329333243947</v>
      </c>
      <c r="M81" s="65">
        <v>1.3061751563837096</v>
      </c>
      <c r="N81" s="69">
        <v>1.1237890076404478</v>
      </c>
      <c r="O81" s="65">
        <v>0.76337725014628455</v>
      </c>
      <c r="P81" s="65">
        <v>0.96727917776256678</v>
      </c>
      <c r="Q81" s="35" t="e">
        <f>AVERAGE('[1]Industry Averages'!$H81,'[1]Industry Averages'!$L81:$P81)</f>
        <v>#REF!</v>
      </c>
    </row>
    <row r="82" spans="1:17">
      <c r="A82" s="63" t="s">
        <v>228</v>
      </c>
      <c r="B82" s="64">
        <v>80</v>
      </c>
      <c r="C82" s="65">
        <v>1.278978137</v>
      </c>
      <c r="D82" s="66">
        <v>0.60860001919660323</v>
      </c>
      <c r="E82" s="66">
        <v>0.119608046</v>
      </c>
      <c r="F82" s="65">
        <f t="shared" si="2"/>
        <v>0.87814763593457457</v>
      </c>
      <c r="G82" s="66">
        <v>1.7418673618858731E-2</v>
      </c>
      <c r="H82" s="65">
        <f t="shared" si="3"/>
        <v>0.89371496522206739</v>
      </c>
      <c r="I82" s="67">
        <v>0.46616348400000002</v>
      </c>
      <c r="J82" s="66">
        <v>0.42830792600000001</v>
      </c>
      <c r="K82" s="68">
        <v>0.33849179345958946</v>
      </c>
      <c r="L82" s="65">
        <v>0.81147990769764133</v>
      </c>
      <c r="M82" s="65">
        <v>0.82697172935780039</v>
      </c>
      <c r="N82" s="65">
        <v>0.76667123223304556</v>
      </c>
      <c r="O82" s="65">
        <v>0.87123518742109773</v>
      </c>
      <c r="P82" s="65">
        <v>0.98702118147956253</v>
      </c>
      <c r="Q82" s="35" t="e">
        <f>AVERAGE('[1]Industry Averages'!$H82,'[1]Industry Averages'!$L82:$P82)</f>
        <v>#REF!</v>
      </c>
    </row>
    <row r="83" spans="1:17">
      <c r="A83" s="63" t="s">
        <v>229</v>
      </c>
      <c r="B83" s="64">
        <v>18</v>
      </c>
      <c r="C83" s="65">
        <v>1.1436996719999999</v>
      </c>
      <c r="D83" s="66">
        <v>0.3210399480162332</v>
      </c>
      <c r="E83" s="66">
        <v>0.15490094200000001</v>
      </c>
      <c r="F83" s="65">
        <f t="shared" si="2"/>
        <v>0.92175865821287029</v>
      </c>
      <c r="G83" s="66">
        <v>2.534361578297642E-2</v>
      </c>
      <c r="H83" s="65">
        <f t="shared" si="3"/>
        <v>0.94572679473428167</v>
      </c>
      <c r="I83" s="67">
        <v>0.407656672</v>
      </c>
      <c r="J83" s="66">
        <v>0.40402199500000002</v>
      </c>
      <c r="K83" s="68">
        <v>4.8870022546531756E-2</v>
      </c>
      <c r="L83" s="65">
        <v>0.85061518110902057</v>
      </c>
      <c r="M83" s="65">
        <v>0.92395978175189775</v>
      </c>
      <c r="N83" s="69">
        <v>0.82407298507083293</v>
      </c>
      <c r="O83" s="65">
        <v>0.87430045257361966</v>
      </c>
      <c r="P83" s="65">
        <v>0.7514861871220232</v>
      </c>
      <c r="Q83" s="35" t="e">
        <f>AVERAGE('[1]Industry Averages'!$H83,'[1]Industry Averages'!$L83:$P83)</f>
        <v>#REF!</v>
      </c>
    </row>
    <row r="84" spans="1:17">
      <c r="A84" s="63" t="s">
        <v>230</v>
      </c>
      <c r="B84" s="64">
        <v>13</v>
      </c>
      <c r="C84" s="65">
        <v>0.587786853</v>
      </c>
      <c r="D84" s="66">
        <v>0.96658930733098536</v>
      </c>
      <c r="E84" s="66">
        <v>0.12781880900000001</v>
      </c>
      <c r="F84" s="65">
        <f t="shared" si="2"/>
        <v>0.34075746294389647</v>
      </c>
      <c r="G84" s="66">
        <v>1.2592182339519703E-2</v>
      </c>
      <c r="H84" s="65">
        <f t="shared" si="3"/>
        <v>0.34510306364726978</v>
      </c>
      <c r="I84" s="67">
        <v>0.39843031600000001</v>
      </c>
      <c r="J84" s="66">
        <v>0.37181372200000001</v>
      </c>
      <c r="K84" s="68">
        <v>0.2448851734561483</v>
      </c>
      <c r="L84" s="65">
        <v>0.74728029757108017</v>
      </c>
      <c r="M84" s="65">
        <v>0.77420202557119511</v>
      </c>
      <c r="N84" s="65">
        <v>0.46358910505185513</v>
      </c>
      <c r="O84" s="65">
        <v>0.43896032167678312</v>
      </c>
      <c r="P84" s="65">
        <v>0.28123262190943138</v>
      </c>
      <c r="Q84" s="35" t="e">
        <f>AVERAGE('[1]Industry Averages'!$H84,'[1]Industry Averages'!$L84:$P84)</f>
        <v>#REF!</v>
      </c>
    </row>
    <row r="85" spans="1:17">
      <c r="A85" s="63" t="s">
        <v>231</v>
      </c>
      <c r="B85" s="64">
        <v>70</v>
      </c>
      <c r="C85" s="65">
        <v>1.2301273779999999</v>
      </c>
      <c r="D85" s="66">
        <v>0.12868029361436256</v>
      </c>
      <c r="E85" s="66">
        <v>2.9189150000000001E-2</v>
      </c>
      <c r="F85" s="65">
        <f t="shared" si="2"/>
        <v>1.1218567372436747</v>
      </c>
      <c r="G85" s="66">
        <v>3.239685907482779E-2</v>
      </c>
      <c r="H85" s="65">
        <f t="shared" si="3"/>
        <v>1.1594182467938388</v>
      </c>
      <c r="I85" s="67">
        <v>0.63926280400000002</v>
      </c>
      <c r="J85" s="66">
        <v>0.55967185100000005</v>
      </c>
      <c r="K85" s="68">
        <v>0.51015094223348478</v>
      </c>
      <c r="L85" s="65">
        <v>1.3922708886932922</v>
      </c>
      <c r="M85" s="65">
        <v>1.5262047196408781</v>
      </c>
      <c r="N85" s="69">
        <v>1.1722871470799821</v>
      </c>
      <c r="O85" s="65">
        <v>1.123659807701672</v>
      </c>
      <c r="P85" s="65">
        <v>1.34449825920508</v>
      </c>
      <c r="Q85" s="35" t="e">
        <f>AVERAGE('[1]Industry Averages'!$H85,'[1]Industry Averages'!$L85:$P85)</f>
        <v>#REF!</v>
      </c>
    </row>
    <row r="86" spans="1:17">
      <c r="A86" s="63" t="s">
        <v>232</v>
      </c>
      <c r="B86" s="64">
        <v>89</v>
      </c>
      <c r="C86" s="65">
        <v>1.0303212349999999</v>
      </c>
      <c r="D86" s="66">
        <v>0.70570209261155292</v>
      </c>
      <c r="E86" s="66">
        <v>0.118927488</v>
      </c>
      <c r="F86" s="65">
        <f t="shared" si="2"/>
        <v>0.67373113246920036</v>
      </c>
      <c r="G86" s="66">
        <v>2.406798630269856E-2</v>
      </c>
      <c r="H86" s="65">
        <f t="shared" si="3"/>
        <v>0.69034637967944268</v>
      </c>
      <c r="I86" s="67">
        <v>0.531341807</v>
      </c>
      <c r="J86" s="66">
        <v>0.44947682999999999</v>
      </c>
      <c r="K86" s="68">
        <v>0.15497368850571916</v>
      </c>
      <c r="L86" s="65">
        <v>0.84597536236928805</v>
      </c>
      <c r="M86" s="65">
        <v>0.80953553926600408</v>
      </c>
      <c r="N86" s="65">
        <v>0.75751932296937508</v>
      </c>
      <c r="O86" s="65">
        <v>0.82009589746205391</v>
      </c>
      <c r="P86" s="65">
        <v>0.80006504109099119</v>
      </c>
      <c r="Q86" s="35" t="e">
        <f>AVERAGE('[1]Industry Averages'!$H86,'[1]Industry Averages'!$L86:$P86)</f>
        <v>#REF!</v>
      </c>
    </row>
    <row r="87" spans="1:17">
      <c r="A87" s="63" t="s">
        <v>233</v>
      </c>
      <c r="B87" s="64">
        <v>4</v>
      </c>
      <c r="C87" s="65">
        <v>0.98298896800000002</v>
      </c>
      <c r="D87" s="66">
        <v>1.7803014222971327</v>
      </c>
      <c r="E87" s="66">
        <v>0.20746164</v>
      </c>
      <c r="F87" s="65">
        <f t="shared" si="2"/>
        <v>0.42093953215393926</v>
      </c>
      <c r="G87" s="66">
        <v>7.1145466674894201E-2</v>
      </c>
      <c r="H87" s="65">
        <f t="shared" si="3"/>
        <v>0.45318132931651134</v>
      </c>
      <c r="I87" s="67">
        <v>0.39175132899999998</v>
      </c>
      <c r="J87" s="66">
        <v>0.57589186400000003</v>
      </c>
      <c r="K87" s="68">
        <v>0.34795466984645018</v>
      </c>
      <c r="L87" s="65">
        <v>0.65422721985966525</v>
      </c>
      <c r="M87" s="65">
        <v>1.1764476807254525</v>
      </c>
      <c r="N87" s="69">
        <v>0.88700108598900151</v>
      </c>
      <c r="O87" s="65">
        <v>0.63726360428336914</v>
      </c>
      <c r="P87" s="65">
        <v>0.23902988074589715</v>
      </c>
      <c r="Q87" s="35" t="e">
        <f>AVERAGE('[1]Industry Averages'!$H87,'[1]Industry Averages'!$L87:$P87)</f>
        <v>#REF!</v>
      </c>
    </row>
    <row r="88" spans="1:17">
      <c r="A88" s="63" t="s">
        <v>234</v>
      </c>
      <c r="B88" s="64">
        <v>72</v>
      </c>
      <c r="C88" s="65">
        <v>1.2865982869999999</v>
      </c>
      <c r="D88" s="66">
        <v>0.11800044859380363</v>
      </c>
      <c r="E88" s="66">
        <v>6.1504982999999999E-2</v>
      </c>
      <c r="F88" s="65">
        <f t="shared" si="2"/>
        <v>1.1819916300637658</v>
      </c>
      <c r="G88" s="66">
        <v>4.4384411207571188E-2</v>
      </c>
      <c r="H88" s="65">
        <f t="shared" si="3"/>
        <v>1.2368902767245551</v>
      </c>
      <c r="I88" s="67">
        <v>0.42764739099999999</v>
      </c>
      <c r="J88" s="66">
        <v>0.43694603399999998</v>
      </c>
      <c r="K88" s="68">
        <v>0.38451353378038677</v>
      </c>
      <c r="L88" s="65">
        <v>1.1683596206413804</v>
      </c>
      <c r="M88" s="65">
        <v>1.3173693176974108</v>
      </c>
      <c r="N88" s="65">
        <v>1.110845208913243</v>
      </c>
      <c r="O88" s="65">
        <v>1.1567611674673315</v>
      </c>
      <c r="P88" s="65">
        <v>1.2637967280679967</v>
      </c>
      <c r="Q88" s="35" t="e">
        <f>AVERAGE('[1]Industry Averages'!$H88,'[1]Industry Averages'!$L88:$P88)</f>
        <v>#REF!</v>
      </c>
    </row>
    <row r="89" spans="1:17">
      <c r="A89" s="63" t="s">
        <v>235</v>
      </c>
      <c r="B89" s="64">
        <v>39</v>
      </c>
      <c r="C89" s="65">
        <v>1.278467646</v>
      </c>
      <c r="D89" s="66">
        <v>0.12173036853717387</v>
      </c>
      <c r="E89" s="66">
        <v>9.7113162000000003E-2</v>
      </c>
      <c r="F89" s="65">
        <f t="shared" si="2"/>
        <v>1.1715112718492529</v>
      </c>
      <c r="G89" s="66">
        <v>6.5396142584039529E-2</v>
      </c>
      <c r="H89" s="65">
        <f t="shared" si="3"/>
        <v>1.2534843105487556</v>
      </c>
      <c r="I89" s="67">
        <v>0.41062282700000002</v>
      </c>
      <c r="J89" s="66">
        <v>0.41063703099999999</v>
      </c>
      <c r="K89" s="68">
        <v>0.64986463211975665</v>
      </c>
      <c r="L89" s="65">
        <v>1.1738492742370259</v>
      </c>
      <c r="M89" s="65">
        <v>1.2230546079999403</v>
      </c>
      <c r="N89" s="69">
        <v>1.09727957234296</v>
      </c>
      <c r="O89" s="65">
        <v>0.98519547259696216</v>
      </c>
      <c r="P89" s="65">
        <v>1.3908894934763405</v>
      </c>
      <c r="Q89" s="35" t="e">
        <f>AVERAGE('[1]Industry Averages'!$H89,'[1]Industry Averages'!$L89:$P89)</f>
        <v>#REF!</v>
      </c>
    </row>
    <row r="90" spans="1:17">
      <c r="A90" s="63" t="s">
        <v>236</v>
      </c>
      <c r="B90" s="64">
        <v>10</v>
      </c>
      <c r="C90" s="65">
        <v>2.1735484760000001</v>
      </c>
      <c r="D90" s="66">
        <v>0.5571456179453671</v>
      </c>
      <c r="E90" s="66">
        <v>4.8923979999999999E-2</v>
      </c>
      <c r="F90" s="65">
        <f t="shared" si="2"/>
        <v>1.5329790541737827</v>
      </c>
      <c r="G90" s="66">
        <v>2.4446724094159631E-2</v>
      </c>
      <c r="H90" s="65">
        <f t="shared" si="3"/>
        <v>1.5713945020074378</v>
      </c>
      <c r="I90" s="67">
        <v>0.53192748099999998</v>
      </c>
      <c r="J90" s="66">
        <v>0.34054304200000002</v>
      </c>
      <c r="K90" s="68">
        <v>0.27787026471615739</v>
      </c>
      <c r="L90" s="65">
        <v>0.9406689521956606</v>
      </c>
      <c r="M90" s="65">
        <v>0.84196525499931285</v>
      </c>
      <c r="N90" s="65">
        <v>0.85414602820656216</v>
      </c>
      <c r="O90" s="65">
        <v>1.0134798161115919</v>
      </c>
      <c r="P90" s="65">
        <v>0.77850734487942919</v>
      </c>
      <c r="Q90" s="35" t="e">
        <f>AVERAGE('[1]Industry Averages'!$H90,'[1]Industry Averages'!$L90:$P90)</f>
        <v>#REF!</v>
      </c>
    </row>
    <row r="91" spans="1:17">
      <c r="A91" s="63" t="s">
        <v>237</v>
      </c>
      <c r="B91" s="64">
        <v>11</v>
      </c>
      <c r="C91" s="65">
        <v>0.86816026400000001</v>
      </c>
      <c r="D91" s="66">
        <v>8.8018444126686926E-2</v>
      </c>
      <c r="E91" s="66">
        <v>0.13978438100000001</v>
      </c>
      <c r="F91" s="65">
        <f t="shared" si="2"/>
        <v>0.81439868512721225</v>
      </c>
      <c r="G91" s="66">
        <v>2.3045890380557012E-2</v>
      </c>
      <c r="H91" s="65">
        <f t="shared" si="3"/>
        <v>0.83360996909511786</v>
      </c>
      <c r="I91" s="67">
        <v>0.35981344100000001</v>
      </c>
      <c r="J91" s="66">
        <v>0.375639371</v>
      </c>
      <c r="K91" s="68">
        <v>0.23038804812039193</v>
      </c>
      <c r="L91" s="65">
        <v>0.82494684584711353</v>
      </c>
      <c r="M91" s="65">
        <v>0.80872809413738767</v>
      </c>
      <c r="N91" s="69">
        <v>0.8296209485545919</v>
      </c>
      <c r="O91" s="65">
        <v>0.86065185848202708</v>
      </c>
      <c r="P91" s="65">
        <v>0.74128200359267893</v>
      </c>
      <c r="Q91" s="35" t="e">
        <f>AVERAGE('[1]Industry Averages'!$H91,'[1]Industry Averages'!$L91:$P91)</f>
        <v>#REF!</v>
      </c>
    </row>
    <row r="92" spans="1:17">
      <c r="A92" s="63" t="s">
        <v>238</v>
      </c>
      <c r="B92" s="64">
        <v>86</v>
      </c>
      <c r="C92" s="65">
        <v>1.2883300280000001</v>
      </c>
      <c r="D92" s="66">
        <v>3.7989640927729676E-2</v>
      </c>
      <c r="E92" s="66">
        <v>2.5786192999999999E-2</v>
      </c>
      <c r="F92" s="65">
        <f t="shared" si="2"/>
        <v>1.2526395334347027</v>
      </c>
      <c r="G92" s="66">
        <v>2.5846163837076969E-2</v>
      </c>
      <c r="H92" s="65">
        <f t="shared" si="3"/>
        <v>1.2858744552797758</v>
      </c>
      <c r="I92" s="67">
        <v>0.63595550000000001</v>
      </c>
      <c r="J92" s="66">
        <v>0.61373098999999998</v>
      </c>
      <c r="K92" s="68">
        <v>0.62687511833116227</v>
      </c>
      <c r="L92" s="65">
        <v>1.1318066531613469</v>
      </c>
      <c r="M92" s="65">
        <v>1.4648194936696251</v>
      </c>
      <c r="N92" s="65">
        <v>0.96477966383525637</v>
      </c>
      <c r="O92" s="65">
        <v>0.9110162753522365</v>
      </c>
      <c r="P92" s="65">
        <v>1.2697947323690497</v>
      </c>
      <c r="Q92" s="35" t="e">
        <f>AVERAGE('[1]Industry Averages'!$H92,'[1]Industry Averages'!$L92:$P92)</f>
        <v>#REF!</v>
      </c>
    </row>
    <row r="93" spans="1:17">
      <c r="A93" s="63" t="s">
        <v>239</v>
      </c>
      <c r="B93" s="64">
        <v>30</v>
      </c>
      <c r="C93" s="65">
        <v>1.6728300780000001</v>
      </c>
      <c r="D93" s="66">
        <v>0.20414523808735685</v>
      </c>
      <c r="E93" s="66">
        <v>1.2283565E-2</v>
      </c>
      <c r="F93" s="65">
        <f t="shared" si="2"/>
        <v>1.4507129695726337</v>
      </c>
      <c r="G93" s="66">
        <v>3.4919051104044897E-2</v>
      </c>
      <c r="H93" s="65">
        <f t="shared" si="3"/>
        <v>1.5032034061310999</v>
      </c>
      <c r="I93" s="67">
        <v>0.56714241899999995</v>
      </c>
      <c r="J93" s="66">
        <v>0.44781404299999999</v>
      </c>
      <c r="K93" s="68">
        <v>0.5108201440111152</v>
      </c>
      <c r="L93" s="65">
        <v>1.2936072359960591</v>
      </c>
      <c r="M93" s="65">
        <v>1.3281793168817304</v>
      </c>
      <c r="N93" s="69">
        <v>1.1180451964808946</v>
      </c>
      <c r="O93" s="65">
        <v>1.1991307944510419</v>
      </c>
      <c r="P93" s="65">
        <v>1.3051434552841432</v>
      </c>
      <c r="Q93" s="35" t="e">
        <f>AVERAGE('[1]Industry Averages'!$H93,'[1]Industry Averages'!$L93:$P93)</f>
        <v>#REF!</v>
      </c>
    </row>
    <row r="94" spans="1:17">
      <c r="A94" s="63" t="s">
        <v>240</v>
      </c>
      <c r="B94" s="64">
        <v>363</v>
      </c>
      <c r="C94" s="65">
        <v>1.196459765</v>
      </c>
      <c r="D94" s="66">
        <v>9.6717917918846569E-2</v>
      </c>
      <c r="E94" s="66">
        <v>2.6009852999999999E-2</v>
      </c>
      <c r="F94" s="65">
        <f t="shared" si="2"/>
        <v>1.1155402194640294</v>
      </c>
      <c r="G94" s="66">
        <v>2.9256659833035482E-2</v>
      </c>
      <c r="H94" s="65">
        <f t="shared" si="3"/>
        <v>1.1491608268691911</v>
      </c>
      <c r="I94" s="67">
        <v>0.581777235</v>
      </c>
      <c r="J94" s="66">
        <v>0.49502169000000001</v>
      </c>
      <c r="K94" s="68">
        <v>0.14960762968019339</v>
      </c>
      <c r="L94" s="65">
        <v>1.0611134578293739</v>
      </c>
      <c r="M94" s="65">
        <v>1.2468087604629723</v>
      </c>
      <c r="N94" s="65">
        <v>0.98859806843913289</v>
      </c>
      <c r="O94" s="65">
        <v>1.0202561296564998</v>
      </c>
      <c r="P94" s="65">
        <v>1.1619596463607587</v>
      </c>
      <c r="Q94" s="35" t="e">
        <f>AVERAGE('[1]Industry Averages'!$H94,'[1]Industry Averages'!$L94:$P94)</f>
        <v>#REF!</v>
      </c>
    </row>
    <row r="95" spans="1:17">
      <c r="A95" s="63" t="s">
        <v>241</v>
      </c>
      <c r="B95" s="64">
        <v>32</v>
      </c>
      <c r="C95" s="65">
        <v>1.618693392</v>
      </c>
      <c r="D95" s="66">
        <v>0.46972303105448476</v>
      </c>
      <c r="E95" s="66">
        <v>9.2520965999999996E-2</v>
      </c>
      <c r="F95" s="65">
        <f t="shared" si="2"/>
        <v>1.19699966048082</v>
      </c>
      <c r="G95" s="66">
        <v>6.8894986795378477E-2</v>
      </c>
      <c r="H95" s="65">
        <f t="shared" si="3"/>
        <v>1.2855689138232198</v>
      </c>
      <c r="I95" s="67">
        <v>0.40279508600000002</v>
      </c>
      <c r="J95" s="66">
        <v>0.39387867799999998</v>
      </c>
      <c r="K95" s="68">
        <v>0.6685111396616229</v>
      </c>
      <c r="L95" s="65">
        <v>0.9037061177913287</v>
      </c>
      <c r="M95" s="65">
        <v>0.86265231180747404</v>
      </c>
      <c r="N95" s="69">
        <v>1.1939862238092516</v>
      </c>
      <c r="O95" s="65">
        <v>1.5326927281923055</v>
      </c>
      <c r="P95" s="65">
        <v>1.2948714024708063</v>
      </c>
      <c r="Q95" s="35" t="e">
        <f>AVERAGE('[1]Industry Averages'!$H95,'[1]Industry Averages'!$L95:$P95)</f>
        <v>#REF!</v>
      </c>
    </row>
    <row r="96" spans="1:17">
      <c r="A96" s="63" t="s">
        <v>242</v>
      </c>
      <c r="B96" s="64">
        <v>18</v>
      </c>
      <c r="C96" s="65">
        <v>1.142928674</v>
      </c>
      <c r="D96" s="66">
        <v>1.3119141586173797</v>
      </c>
      <c r="E96" s="66">
        <v>5.8932112000000002E-2</v>
      </c>
      <c r="F96" s="65">
        <f t="shared" si="2"/>
        <v>0.57609161460460445</v>
      </c>
      <c r="G96" s="66">
        <v>3.4873811105091197E-2</v>
      </c>
      <c r="H96" s="65">
        <f t="shared" si="3"/>
        <v>0.59690807402526536</v>
      </c>
      <c r="I96" s="67">
        <v>0.48039425899999999</v>
      </c>
      <c r="J96" s="66">
        <v>0.41849140699999998</v>
      </c>
      <c r="K96" s="68">
        <v>0.5287928980164931</v>
      </c>
      <c r="L96" s="65">
        <v>0.50868403517956984</v>
      </c>
      <c r="M96" s="65">
        <v>0.65070091831649424</v>
      </c>
      <c r="N96" s="65">
        <v>0.58098604749830041</v>
      </c>
      <c r="O96" s="65">
        <v>0.70836900322043828</v>
      </c>
      <c r="P96" s="65">
        <v>0.70626583312516422</v>
      </c>
      <c r="Q96" s="35" t="e">
        <f>AVERAGE('[1]Industry Averages'!$H96,'[1]Industry Averages'!$L96:$P96)</f>
        <v>#REF!</v>
      </c>
    </row>
    <row r="97" spans="1:17">
      <c r="A97" s="63" t="s">
        <v>243</v>
      </c>
      <c r="B97" s="64">
        <v>91</v>
      </c>
      <c r="C97" s="65">
        <v>0.89438610699999999</v>
      </c>
      <c r="D97" s="66">
        <v>0.17222533096901704</v>
      </c>
      <c r="E97" s="66">
        <v>4.3136855000000002E-2</v>
      </c>
      <c r="F97" s="65">
        <f t="shared" si="2"/>
        <v>0.79207462160627529</v>
      </c>
      <c r="G97" s="66">
        <v>5.2518131030614638E-2</v>
      </c>
      <c r="H97" s="65">
        <f t="shared" si="3"/>
        <v>0.83597865832287344</v>
      </c>
      <c r="I97" s="67">
        <v>0.49029900999999998</v>
      </c>
      <c r="J97" s="66">
        <v>0.46295718699999999</v>
      </c>
      <c r="K97" s="68">
        <v>0.20527633455965044</v>
      </c>
      <c r="L97" s="65">
        <v>1.1969863378818462</v>
      </c>
      <c r="M97" s="65">
        <v>1.1678671829832437</v>
      </c>
      <c r="N97" s="69">
        <v>0.8626345985311783</v>
      </c>
      <c r="O97" s="65">
        <v>0.95898598463913076</v>
      </c>
      <c r="P97" s="65">
        <v>1.0228587017593667</v>
      </c>
      <c r="Q97" s="35" t="e">
        <f>AVERAGE('[1]Industry Averages'!$H97,'[1]Industry Averages'!$L97:$P97)</f>
        <v>#REF!</v>
      </c>
    </row>
    <row r="98" spans="1:17">
      <c r="A98" s="63" t="s">
        <v>244</v>
      </c>
      <c r="B98" s="64">
        <v>67</v>
      </c>
      <c r="C98" s="65">
        <v>1.0481614109999999</v>
      </c>
      <c r="D98" s="66">
        <v>0.79192242619436271</v>
      </c>
      <c r="E98" s="66">
        <v>4.1683738999999997E-2</v>
      </c>
      <c r="F98" s="65">
        <f t="shared" si="2"/>
        <v>0.65759075901085084</v>
      </c>
      <c r="G98" s="66">
        <v>1.3491866414594282E-2</v>
      </c>
      <c r="H98" s="65">
        <f t="shared" si="3"/>
        <v>0.66658422431944475</v>
      </c>
      <c r="I98" s="67">
        <v>0.59327594100000003</v>
      </c>
      <c r="J98" s="66">
        <v>0.54473346099999997</v>
      </c>
      <c r="K98" s="68">
        <v>0.27636333984080885</v>
      </c>
      <c r="L98" s="65">
        <v>0.69110674234643332</v>
      </c>
      <c r="M98" s="65">
        <v>0.57007028855733299</v>
      </c>
      <c r="N98" s="65">
        <v>0.67562071190528217</v>
      </c>
      <c r="O98" s="65">
        <v>0.71930948488842505</v>
      </c>
      <c r="P98" s="65">
        <v>0.74082603271700076</v>
      </c>
      <c r="Q98" s="35" t="e">
        <f>AVERAGE('[1]Industry Averages'!$H98,'[1]Industry Averages'!$L98:$P98)</f>
        <v>#REF!</v>
      </c>
    </row>
    <row r="99" spans="1:17">
      <c r="A99" s="63" t="s">
        <v>245</v>
      </c>
      <c r="B99" s="64">
        <v>17</v>
      </c>
      <c r="C99" s="65">
        <v>1.6802684489999999</v>
      </c>
      <c r="D99" s="66">
        <v>0.28559293228969279</v>
      </c>
      <c r="E99" s="66">
        <v>0.114848199</v>
      </c>
      <c r="F99" s="65">
        <f t="shared" si="2"/>
        <v>1.3838542122471664</v>
      </c>
      <c r="G99" s="66">
        <v>2.9774770305534048E-2</v>
      </c>
      <c r="H99" s="65">
        <f t="shared" si="3"/>
        <v>1.426322641272642</v>
      </c>
      <c r="I99" s="67">
        <v>0.58368604199999996</v>
      </c>
      <c r="J99" s="66">
        <v>0.38485172299999998</v>
      </c>
      <c r="K99" s="68">
        <v>8.5682339804250843E-2</v>
      </c>
      <c r="L99" s="65">
        <v>0.94499979246372112</v>
      </c>
      <c r="M99" s="65">
        <v>1.6611706900884531</v>
      </c>
      <c r="N99" s="69">
        <v>1.1328879375594154</v>
      </c>
      <c r="O99" s="65">
        <v>1.1518437689270005</v>
      </c>
      <c r="P99" s="65">
        <v>1.1252643536813445</v>
      </c>
      <c r="Q99" s="35" t="e">
        <f>AVERAGE('[1]Industry Averages'!$H99,'[1]Industry Averages'!$L99:$P99)</f>
        <v>#REF!</v>
      </c>
    </row>
    <row r="100" spans="1:17">
      <c r="A100" s="63" t="s">
        <v>246</v>
      </c>
      <c r="B100" s="64">
        <v>18</v>
      </c>
      <c r="C100" s="65">
        <v>1.3051698169999999</v>
      </c>
      <c r="D100" s="66">
        <v>0.54233105549485539</v>
      </c>
      <c r="E100" s="66">
        <v>0.127586542</v>
      </c>
      <c r="F100" s="65">
        <f t="shared" si="2"/>
        <v>0.92779200427954156</v>
      </c>
      <c r="G100" s="66">
        <v>3.0793987079598011E-2</v>
      </c>
      <c r="H100" s="65">
        <f t="shared" si="3"/>
        <v>0.95727016951115262</v>
      </c>
      <c r="I100" s="67">
        <v>0.41592849500000001</v>
      </c>
      <c r="J100" s="66">
        <v>0.279851295</v>
      </c>
      <c r="K100" s="68">
        <v>0.26780541789908047</v>
      </c>
      <c r="L100" s="65">
        <v>0.76521173297084655</v>
      </c>
      <c r="M100" s="65">
        <v>1.188254771249603</v>
      </c>
      <c r="N100" s="65">
        <v>0.83108379560566226</v>
      </c>
      <c r="O100" s="65">
        <v>0.79664864200617935</v>
      </c>
      <c r="P100" s="65">
        <v>0.89929754045085275</v>
      </c>
      <c r="Q100" s="35" t="e">
        <f>AVERAGE('[1]Industry Averages'!$H100,'[1]Industry Averages'!$L100:$P100)</f>
        <v>#REF!</v>
      </c>
    </row>
    <row r="101" spans="1:17">
      <c r="A101" s="63" t="s">
        <v>247</v>
      </c>
      <c r="B101" s="64">
        <v>8</v>
      </c>
      <c r="C101" s="65">
        <v>2.2404253390000002</v>
      </c>
      <c r="D101" s="66">
        <v>0.2623676033935386</v>
      </c>
      <c r="E101" s="66">
        <v>0.12240466999999999</v>
      </c>
      <c r="F101" s="65">
        <f t="shared" si="2"/>
        <v>1.8720511573182357</v>
      </c>
      <c r="G101" s="66">
        <v>1.053498972045796E-2</v>
      </c>
      <c r="H101" s="65">
        <f t="shared" si="3"/>
        <v>1.8919831806779572</v>
      </c>
      <c r="I101" s="67">
        <v>0.46316302399999998</v>
      </c>
      <c r="J101" s="66">
        <v>0.18246747199999999</v>
      </c>
      <c r="K101" s="68">
        <v>0.21105218032799505</v>
      </c>
      <c r="L101" s="65">
        <v>0.92000107814920618</v>
      </c>
      <c r="M101" s="65">
        <v>0.92727996050611483</v>
      </c>
      <c r="N101" s="69">
        <v>0.65757161695504285</v>
      </c>
      <c r="O101" s="65">
        <v>0.86883727686550138</v>
      </c>
      <c r="P101" s="65">
        <v>2.0801518230331322</v>
      </c>
      <c r="Q101" s="35" t="e">
        <f>AVERAGE('[1]Industry Averages'!$H101,'[1]Industry Averages'!$L101:$P101)</f>
        <v>#REF!</v>
      </c>
    </row>
    <row r="102" spans="1:17">
      <c r="A102" s="63" t="s">
        <v>248</v>
      </c>
      <c r="B102" s="64">
        <v>33</v>
      </c>
      <c r="C102" s="65">
        <v>1.3721746720000001</v>
      </c>
      <c r="D102" s="66">
        <v>0.57875635719310092</v>
      </c>
      <c r="E102" s="66">
        <v>0.16734843399999999</v>
      </c>
      <c r="F102" s="65">
        <f t="shared" si="2"/>
        <v>0.95684121848364734</v>
      </c>
      <c r="G102" s="66">
        <v>8.0903147447326296E-2</v>
      </c>
      <c r="H102" s="65">
        <f t="shared" si="3"/>
        <v>1.041066799245524</v>
      </c>
      <c r="I102" s="67">
        <v>0.43434782399999999</v>
      </c>
      <c r="J102" s="66">
        <v>0.41853845000000001</v>
      </c>
      <c r="K102" s="68">
        <v>0.60251369302161972</v>
      </c>
      <c r="L102" s="65">
        <v>0.91730335862705326</v>
      </c>
      <c r="M102" s="65">
        <v>1.0263927288303389</v>
      </c>
      <c r="N102" s="65">
        <v>0.75582368174974701</v>
      </c>
      <c r="O102" s="65">
        <v>0.80694623223928075</v>
      </c>
      <c r="P102" s="65">
        <v>0.71085656044871004</v>
      </c>
      <c r="Q102" s="35" t="e">
        <f>AVERAGE('[1]Industry Averages'!$H102,'[1]Industry Averages'!$L102:$P102)</f>
        <v>#REF!</v>
      </c>
    </row>
    <row r="103" spans="1:17">
      <c r="A103" s="63" t="s">
        <v>249</v>
      </c>
      <c r="B103" s="64">
        <v>16</v>
      </c>
      <c r="C103" s="65">
        <v>0.28392773900000001</v>
      </c>
      <c r="D103" s="66">
        <v>0.66945309838857592</v>
      </c>
      <c r="E103" s="66">
        <v>0.13445575600000001</v>
      </c>
      <c r="F103" s="65">
        <f t="shared" si="2"/>
        <v>0.18902181114797562</v>
      </c>
      <c r="G103" s="66">
        <v>3.5142138925668719E-3</v>
      </c>
      <c r="H103" s="65">
        <f t="shared" si="3"/>
        <v>0.18968841681761509</v>
      </c>
      <c r="I103" s="67">
        <v>0.13556797100000001</v>
      </c>
      <c r="J103" s="66">
        <v>0.13112592200000001</v>
      </c>
      <c r="K103" s="68">
        <v>7.3071707883683445E-2</v>
      </c>
      <c r="L103" s="65">
        <v>0.41908616581674391</v>
      </c>
      <c r="M103" s="65">
        <v>0.36463600054164563</v>
      </c>
      <c r="N103" s="69">
        <v>0.25122533577249689</v>
      </c>
      <c r="O103" s="65">
        <v>0.19528826349103087</v>
      </c>
      <c r="P103" s="65">
        <v>0.1745698394445703</v>
      </c>
      <c r="Q103" s="35" t="e">
        <f>AVERAGE('[1]Industry Averages'!$H103,'[1]Industry Averages'!$L103:$P103)</f>
        <v>#REF!</v>
      </c>
    </row>
    <row r="104" spans="1:17">
      <c r="A104" s="63" t="s">
        <v>250</v>
      </c>
      <c r="B104" s="64">
        <v>17</v>
      </c>
      <c r="C104" s="65">
        <v>0.68451251499999999</v>
      </c>
      <c r="D104" s="66">
        <v>0.35754961794436241</v>
      </c>
      <c r="E104" s="66">
        <v>0.10013337999999999</v>
      </c>
      <c r="F104" s="65">
        <f t="shared" si="2"/>
        <v>0.5397673166221677</v>
      </c>
      <c r="G104" s="66">
        <v>4.5202511279839291E-2</v>
      </c>
      <c r="H104" s="65">
        <f t="shared" si="3"/>
        <v>0.56532125712405057</v>
      </c>
      <c r="I104" s="67">
        <v>0.363909339</v>
      </c>
      <c r="J104" s="66">
        <v>0.42356418000000001</v>
      </c>
      <c r="K104" s="68">
        <v>0.18089757196421818</v>
      </c>
      <c r="L104" s="65">
        <v>0.76632653602523049</v>
      </c>
      <c r="M104" s="65">
        <v>0.33166856985532761</v>
      </c>
      <c r="N104" s="65">
        <v>0.47133256922902528</v>
      </c>
      <c r="O104" s="65">
        <v>0.26742845919334141</v>
      </c>
      <c r="P104" s="65">
        <v>0.32295708453677063</v>
      </c>
      <c r="Q104" s="35" t="e">
        <f>AVERAGE('[1]Industry Averages'!$H104,'[1]Industry Averages'!$L104:$P104)</f>
        <v>#REF!</v>
      </c>
    </row>
    <row r="105" spans="1:17" s="1" customFormat="1">
      <c r="A105" s="70" t="s">
        <v>251</v>
      </c>
      <c r="B105" s="41">
        <v>7053</v>
      </c>
      <c r="C105" s="71">
        <v>1.1288402320474928</v>
      </c>
      <c r="D105" s="72">
        <v>0.58004096347716227</v>
      </c>
      <c r="E105" s="72">
        <v>7.3204225418946681E-2</v>
      </c>
      <c r="F105" s="65">
        <f t="shared" si="2"/>
        <v>0.78663140395772102</v>
      </c>
      <c r="G105" s="72">
        <v>5.1627192185888099E-2</v>
      </c>
      <c r="H105" s="65">
        <f t="shared" si="3"/>
        <v>0.82945377332234371</v>
      </c>
      <c r="I105" s="73">
        <v>0.48064894899999999</v>
      </c>
      <c r="J105" s="72">
        <v>0.42356418000000001</v>
      </c>
      <c r="K105" s="74">
        <v>0.16484507049451941</v>
      </c>
      <c r="L105" s="75">
        <v>0.7</v>
      </c>
      <c r="M105" s="29">
        <v>0.73</v>
      </c>
      <c r="N105" s="76">
        <v>0.65</v>
      </c>
      <c r="O105" s="71">
        <v>0.7245711625183886</v>
      </c>
      <c r="P105" s="71">
        <v>0.80201739708391317</v>
      </c>
      <c r="Q105" s="35" t="e">
        <f>AVERAGE('[1]Industry Averages'!$H105,'[1]Industry Averages'!$L105:$P105)</f>
        <v>#REF!</v>
      </c>
    </row>
    <row r="106" spans="1:17" s="1" customFormat="1">
      <c r="A106" s="77" t="s">
        <v>252</v>
      </c>
      <c r="B106" s="78">
        <v>5878</v>
      </c>
      <c r="C106" s="79">
        <v>1.2095280307482079</v>
      </c>
      <c r="D106" s="80">
        <v>0.31604573809323266</v>
      </c>
      <c r="E106" s="80">
        <v>5.8130815794799416E-2</v>
      </c>
      <c r="F106" s="65">
        <f t="shared" si="2"/>
        <v>0.97776434110005117</v>
      </c>
      <c r="G106" s="80">
        <v>3.4289347045306132E-2</v>
      </c>
      <c r="H106" s="65">
        <f t="shared" si="3"/>
        <v>1.0124816766890556</v>
      </c>
      <c r="I106" s="81">
        <v>0.53225381888108203</v>
      </c>
      <c r="J106" s="80">
        <v>0.46406094227526379</v>
      </c>
      <c r="K106" s="82">
        <v>0.16312048292651249</v>
      </c>
      <c r="L106" s="29">
        <v>0.87</v>
      </c>
      <c r="M106" s="29">
        <v>0.9</v>
      </c>
      <c r="N106" s="83">
        <v>0.85</v>
      </c>
      <c r="O106" s="71">
        <v>0.90189374917391918</v>
      </c>
      <c r="P106" s="71">
        <v>0.99855894726946337</v>
      </c>
      <c r="Q106" s="35" t="e">
        <f>AVERAGE('[1]Industry Averages'!$H106,'[1]Industry Averages'!$L106:$P106)</f>
        <v>#REF!</v>
      </c>
    </row>
  </sheetData>
  <mergeCells count="12">
    <mergeCell ref="B7:G7"/>
    <mergeCell ref="L9:Q9"/>
    <mergeCell ref="B1:G1"/>
    <mergeCell ref="H1:H7"/>
    <mergeCell ref="I1:K1"/>
    <mergeCell ref="B2:G2"/>
    <mergeCell ref="I2:K7"/>
    <mergeCell ref="B3:E3"/>
    <mergeCell ref="F3:G3"/>
    <mergeCell ref="B4:G4"/>
    <mergeCell ref="B5:G5"/>
    <mergeCell ref="B6:G6"/>
  </mergeCells>
  <hyperlinks>
    <hyperlink ref="B2" r:id="rId1" xr:uid="{00000000-0004-0000-0500-000000000000}"/>
    <hyperlink ref="B4" r:id="rId2" xr:uid="{00000000-0004-0000-0500-000001000000}"/>
    <hyperlink ref="B5" r:id="rId3" xr:uid="{00000000-0004-0000-0500-000002000000}"/>
    <hyperlink ref="B6" r:id="rId4" xr:uid="{00000000-0004-0000-0500-000003000000}"/>
    <hyperlink ref="B7" r:id="rId5" xr:uid="{00000000-0004-0000-0500-000004000000}"/>
    <hyperlink ref="H1:H7" r:id="rId6" display="YouTube Video explaining estimation choices and process." xr:uid="{00000000-0004-0000-0500-000005000000}"/>
  </hyperlinks>
  <pageMargins left="0.511811024" right="0.511811024" top="0.78740157499999996" bottom="0.78740157499999996" header="0.31496062000000002" footer="0.31496062000000002"/>
  <tableParts count="1">
    <tablePart r:id="rId7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85"/>
  <sheetViews>
    <sheetView topLeftCell="A102" workbookViewId="0">
      <selection activeCell="B114" sqref="B114"/>
    </sheetView>
  </sheetViews>
  <sheetFormatPr defaultColWidth="11" defaultRowHeight="15.75"/>
  <cols>
    <col min="1" max="1" width="18.125" style="96" bestFit="1" customWidth="1"/>
    <col min="2" max="2" width="10" style="96" customWidth="1"/>
    <col min="3" max="3" width="14.5" style="96" customWidth="1"/>
    <col min="4" max="4" width="16" style="96" customWidth="1"/>
    <col min="5" max="5" width="15" style="96" customWidth="1"/>
    <col min="6" max="6" width="14.125" style="96" bestFit="1" customWidth="1"/>
    <col min="7" max="7" width="15" style="96" bestFit="1" customWidth="1"/>
    <col min="8" max="8" width="13" style="96" customWidth="1"/>
    <col min="9" max="9" width="14.5" style="96" customWidth="1"/>
    <col min="10" max="10" width="15" style="96" customWidth="1"/>
    <col min="11" max="11" width="16.125" style="96" customWidth="1"/>
    <col min="12" max="15" width="11" style="96"/>
    <col min="16" max="16" width="11" style="97"/>
    <col min="17" max="256" width="11" style="96"/>
    <col min="257" max="257" width="18.125" style="96" bestFit="1" customWidth="1"/>
    <col min="258" max="258" width="10" style="96" customWidth="1"/>
    <col min="259" max="259" width="14.5" style="96" customWidth="1"/>
    <col min="260" max="260" width="16" style="96" customWidth="1"/>
    <col min="261" max="261" width="15" style="96" customWidth="1"/>
    <col min="262" max="262" width="14.125" style="96" bestFit="1" customWidth="1"/>
    <col min="263" max="263" width="15" style="96" bestFit="1" customWidth="1"/>
    <col min="264" max="264" width="13" style="96" customWidth="1"/>
    <col min="265" max="265" width="14.5" style="96" customWidth="1"/>
    <col min="266" max="266" width="15" style="96" customWidth="1"/>
    <col min="267" max="267" width="16.125" style="96" customWidth="1"/>
    <col min="268" max="512" width="11" style="96"/>
    <col min="513" max="513" width="18.125" style="96" bestFit="1" customWidth="1"/>
    <col min="514" max="514" width="10" style="96" customWidth="1"/>
    <col min="515" max="515" width="14.5" style="96" customWidth="1"/>
    <col min="516" max="516" width="16" style="96" customWidth="1"/>
    <col min="517" max="517" width="15" style="96" customWidth="1"/>
    <col min="518" max="518" width="14.125" style="96" bestFit="1" customWidth="1"/>
    <col min="519" max="519" width="15" style="96" bestFit="1" customWidth="1"/>
    <col min="520" max="520" width="13" style="96" customWidth="1"/>
    <col min="521" max="521" width="14.5" style="96" customWidth="1"/>
    <col min="522" max="522" width="15" style="96" customWidth="1"/>
    <col min="523" max="523" width="16.125" style="96" customWidth="1"/>
    <col min="524" max="768" width="11" style="96"/>
    <col min="769" max="769" width="18.125" style="96" bestFit="1" customWidth="1"/>
    <col min="770" max="770" width="10" style="96" customWidth="1"/>
    <col min="771" max="771" width="14.5" style="96" customWidth="1"/>
    <col min="772" max="772" width="16" style="96" customWidth="1"/>
    <col min="773" max="773" width="15" style="96" customWidth="1"/>
    <col min="774" max="774" width="14.125" style="96" bestFit="1" customWidth="1"/>
    <col min="775" max="775" width="15" style="96" bestFit="1" customWidth="1"/>
    <col min="776" max="776" width="13" style="96" customWidth="1"/>
    <col min="777" max="777" width="14.5" style="96" customWidth="1"/>
    <col min="778" max="778" width="15" style="96" customWidth="1"/>
    <col min="779" max="779" width="16.125" style="96" customWidth="1"/>
    <col min="780" max="1024" width="11" style="96"/>
    <col min="1025" max="1025" width="18.125" style="96" bestFit="1" customWidth="1"/>
    <col min="1026" max="1026" width="10" style="96" customWidth="1"/>
    <col min="1027" max="1027" width="14.5" style="96" customWidth="1"/>
    <col min="1028" max="1028" width="16" style="96" customWidth="1"/>
    <col min="1029" max="1029" width="15" style="96" customWidth="1"/>
    <col min="1030" max="1030" width="14.125" style="96" bestFit="1" customWidth="1"/>
    <col min="1031" max="1031" width="15" style="96" bestFit="1" customWidth="1"/>
    <col min="1032" max="1032" width="13" style="96" customWidth="1"/>
    <col min="1033" max="1033" width="14.5" style="96" customWidth="1"/>
    <col min="1034" max="1034" width="15" style="96" customWidth="1"/>
    <col min="1035" max="1035" width="16.125" style="96" customWidth="1"/>
    <col min="1036" max="1280" width="11" style="96"/>
    <col min="1281" max="1281" width="18.125" style="96" bestFit="1" customWidth="1"/>
    <col min="1282" max="1282" width="10" style="96" customWidth="1"/>
    <col min="1283" max="1283" width="14.5" style="96" customWidth="1"/>
    <col min="1284" max="1284" width="16" style="96" customWidth="1"/>
    <col min="1285" max="1285" width="15" style="96" customWidth="1"/>
    <col min="1286" max="1286" width="14.125" style="96" bestFit="1" customWidth="1"/>
    <col min="1287" max="1287" width="15" style="96" bestFit="1" customWidth="1"/>
    <col min="1288" max="1288" width="13" style="96" customWidth="1"/>
    <col min="1289" max="1289" width="14.5" style="96" customWidth="1"/>
    <col min="1290" max="1290" width="15" style="96" customWidth="1"/>
    <col min="1291" max="1291" width="16.125" style="96" customWidth="1"/>
    <col min="1292" max="1536" width="11" style="96"/>
    <col min="1537" max="1537" width="18.125" style="96" bestFit="1" customWidth="1"/>
    <col min="1538" max="1538" width="10" style="96" customWidth="1"/>
    <col min="1539" max="1539" width="14.5" style="96" customWidth="1"/>
    <col min="1540" max="1540" width="16" style="96" customWidth="1"/>
    <col min="1541" max="1541" width="15" style="96" customWidth="1"/>
    <col min="1542" max="1542" width="14.125" style="96" bestFit="1" customWidth="1"/>
    <col min="1543" max="1543" width="15" style="96" bestFit="1" customWidth="1"/>
    <col min="1544" max="1544" width="13" style="96" customWidth="1"/>
    <col min="1545" max="1545" width="14.5" style="96" customWidth="1"/>
    <col min="1546" max="1546" width="15" style="96" customWidth="1"/>
    <col min="1547" max="1547" width="16.125" style="96" customWidth="1"/>
    <col min="1548" max="1792" width="11" style="96"/>
    <col min="1793" max="1793" width="18.125" style="96" bestFit="1" customWidth="1"/>
    <col min="1794" max="1794" width="10" style="96" customWidth="1"/>
    <col min="1795" max="1795" width="14.5" style="96" customWidth="1"/>
    <col min="1796" max="1796" width="16" style="96" customWidth="1"/>
    <col min="1797" max="1797" width="15" style="96" customWidth="1"/>
    <col min="1798" max="1798" width="14.125" style="96" bestFit="1" customWidth="1"/>
    <col min="1799" max="1799" width="15" style="96" bestFit="1" customWidth="1"/>
    <col min="1800" max="1800" width="13" style="96" customWidth="1"/>
    <col min="1801" max="1801" width="14.5" style="96" customWidth="1"/>
    <col min="1802" max="1802" width="15" style="96" customWidth="1"/>
    <col min="1803" max="1803" width="16.125" style="96" customWidth="1"/>
    <col min="1804" max="2048" width="11" style="96"/>
    <col min="2049" max="2049" width="18.125" style="96" bestFit="1" customWidth="1"/>
    <col min="2050" max="2050" width="10" style="96" customWidth="1"/>
    <col min="2051" max="2051" width="14.5" style="96" customWidth="1"/>
    <col min="2052" max="2052" width="16" style="96" customWidth="1"/>
    <col min="2053" max="2053" width="15" style="96" customWidth="1"/>
    <col min="2054" max="2054" width="14.125" style="96" bestFit="1" customWidth="1"/>
    <col min="2055" max="2055" width="15" style="96" bestFit="1" customWidth="1"/>
    <col min="2056" max="2056" width="13" style="96" customWidth="1"/>
    <col min="2057" max="2057" width="14.5" style="96" customWidth="1"/>
    <col min="2058" max="2058" width="15" style="96" customWidth="1"/>
    <col min="2059" max="2059" width="16.125" style="96" customWidth="1"/>
    <col min="2060" max="2304" width="11" style="96"/>
    <col min="2305" max="2305" width="18.125" style="96" bestFit="1" customWidth="1"/>
    <col min="2306" max="2306" width="10" style="96" customWidth="1"/>
    <col min="2307" max="2307" width="14.5" style="96" customWidth="1"/>
    <col min="2308" max="2308" width="16" style="96" customWidth="1"/>
    <col min="2309" max="2309" width="15" style="96" customWidth="1"/>
    <col min="2310" max="2310" width="14.125" style="96" bestFit="1" customWidth="1"/>
    <col min="2311" max="2311" width="15" style="96" bestFit="1" customWidth="1"/>
    <col min="2312" max="2312" width="13" style="96" customWidth="1"/>
    <col min="2313" max="2313" width="14.5" style="96" customWidth="1"/>
    <col min="2314" max="2314" width="15" style="96" customWidth="1"/>
    <col min="2315" max="2315" width="16.125" style="96" customWidth="1"/>
    <col min="2316" max="2560" width="11" style="96"/>
    <col min="2561" max="2561" width="18.125" style="96" bestFit="1" customWidth="1"/>
    <col min="2562" max="2562" width="10" style="96" customWidth="1"/>
    <col min="2563" max="2563" width="14.5" style="96" customWidth="1"/>
    <col min="2564" max="2564" width="16" style="96" customWidth="1"/>
    <col min="2565" max="2565" width="15" style="96" customWidth="1"/>
    <col min="2566" max="2566" width="14.125" style="96" bestFit="1" customWidth="1"/>
    <col min="2567" max="2567" width="15" style="96" bestFit="1" customWidth="1"/>
    <col min="2568" max="2568" width="13" style="96" customWidth="1"/>
    <col min="2569" max="2569" width="14.5" style="96" customWidth="1"/>
    <col min="2570" max="2570" width="15" style="96" customWidth="1"/>
    <col min="2571" max="2571" width="16.125" style="96" customWidth="1"/>
    <col min="2572" max="2816" width="11" style="96"/>
    <col min="2817" max="2817" width="18.125" style="96" bestFit="1" customWidth="1"/>
    <col min="2818" max="2818" width="10" style="96" customWidth="1"/>
    <col min="2819" max="2819" width="14.5" style="96" customWidth="1"/>
    <col min="2820" max="2820" width="16" style="96" customWidth="1"/>
    <col min="2821" max="2821" width="15" style="96" customWidth="1"/>
    <col min="2822" max="2822" width="14.125" style="96" bestFit="1" customWidth="1"/>
    <col min="2823" max="2823" width="15" style="96" bestFit="1" customWidth="1"/>
    <col min="2824" max="2824" width="13" style="96" customWidth="1"/>
    <col min="2825" max="2825" width="14.5" style="96" customWidth="1"/>
    <col min="2826" max="2826" width="15" style="96" customWidth="1"/>
    <col min="2827" max="2827" width="16.125" style="96" customWidth="1"/>
    <col min="2828" max="3072" width="11" style="96"/>
    <col min="3073" max="3073" width="18.125" style="96" bestFit="1" customWidth="1"/>
    <col min="3074" max="3074" width="10" style="96" customWidth="1"/>
    <col min="3075" max="3075" width="14.5" style="96" customWidth="1"/>
    <col min="3076" max="3076" width="16" style="96" customWidth="1"/>
    <col min="3077" max="3077" width="15" style="96" customWidth="1"/>
    <col min="3078" max="3078" width="14.125" style="96" bestFit="1" customWidth="1"/>
    <col min="3079" max="3079" width="15" style="96" bestFit="1" customWidth="1"/>
    <col min="3080" max="3080" width="13" style="96" customWidth="1"/>
    <col min="3081" max="3081" width="14.5" style="96" customWidth="1"/>
    <col min="3082" max="3082" width="15" style="96" customWidth="1"/>
    <col min="3083" max="3083" width="16.125" style="96" customWidth="1"/>
    <col min="3084" max="3328" width="11" style="96"/>
    <col min="3329" max="3329" width="18.125" style="96" bestFit="1" customWidth="1"/>
    <col min="3330" max="3330" width="10" style="96" customWidth="1"/>
    <col min="3331" max="3331" width="14.5" style="96" customWidth="1"/>
    <col min="3332" max="3332" width="16" style="96" customWidth="1"/>
    <col min="3333" max="3333" width="15" style="96" customWidth="1"/>
    <col min="3334" max="3334" width="14.125" style="96" bestFit="1" customWidth="1"/>
    <col min="3335" max="3335" width="15" style="96" bestFit="1" customWidth="1"/>
    <col min="3336" max="3336" width="13" style="96" customWidth="1"/>
    <col min="3337" max="3337" width="14.5" style="96" customWidth="1"/>
    <col min="3338" max="3338" width="15" style="96" customWidth="1"/>
    <col min="3339" max="3339" width="16.125" style="96" customWidth="1"/>
    <col min="3340" max="3584" width="11" style="96"/>
    <col min="3585" max="3585" width="18.125" style="96" bestFit="1" customWidth="1"/>
    <col min="3586" max="3586" width="10" style="96" customWidth="1"/>
    <col min="3587" max="3587" width="14.5" style="96" customWidth="1"/>
    <col min="3588" max="3588" width="16" style="96" customWidth="1"/>
    <col min="3589" max="3589" width="15" style="96" customWidth="1"/>
    <col min="3590" max="3590" width="14.125" style="96" bestFit="1" customWidth="1"/>
    <col min="3591" max="3591" width="15" style="96" bestFit="1" customWidth="1"/>
    <col min="3592" max="3592" width="13" style="96" customWidth="1"/>
    <col min="3593" max="3593" width="14.5" style="96" customWidth="1"/>
    <col min="3594" max="3594" width="15" style="96" customWidth="1"/>
    <col min="3595" max="3595" width="16.125" style="96" customWidth="1"/>
    <col min="3596" max="3840" width="11" style="96"/>
    <col min="3841" max="3841" width="18.125" style="96" bestFit="1" customWidth="1"/>
    <col min="3842" max="3842" width="10" style="96" customWidth="1"/>
    <col min="3843" max="3843" width="14.5" style="96" customWidth="1"/>
    <col min="3844" max="3844" width="16" style="96" customWidth="1"/>
    <col min="3845" max="3845" width="15" style="96" customWidth="1"/>
    <col min="3846" max="3846" width="14.125" style="96" bestFit="1" customWidth="1"/>
    <col min="3847" max="3847" width="15" style="96" bestFit="1" customWidth="1"/>
    <col min="3848" max="3848" width="13" style="96" customWidth="1"/>
    <col min="3849" max="3849" width="14.5" style="96" customWidth="1"/>
    <col min="3850" max="3850" width="15" style="96" customWidth="1"/>
    <col min="3851" max="3851" width="16.125" style="96" customWidth="1"/>
    <col min="3852" max="4096" width="11" style="96"/>
    <col min="4097" max="4097" width="18.125" style="96" bestFit="1" customWidth="1"/>
    <col min="4098" max="4098" width="10" style="96" customWidth="1"/>
    <col min="4099" max="4099" width="14.5" style="96" customWidth="1"/>
    <col min="4100" max="4100" width="16" style="96" customWidth="1"/>
    <col min="4101" max="4101" width="15" style="96" customWidth="1"/>
    <col min="4102" max="4102" width="14.125" style="96" bestFit="1" customWidth="1"/>
    <col min="4103" max="4103" width="15" style="96" bestFit="1" customWidth="1"/>
    <col min="4104" max="4104" width="13" style="96" customWidth="1"/>
    <col min="4105" max="4105" width="14.5" style="96" customWidth="1"/>
    <col min="4106" max="4106" width="15" style="96" customWidth="1"/>
    <col min="4107" max="4107" width="16.125" style="96" customWidth="1"/>
    <col min="4108" max="4352" width="11" style="96"/>
    <col min="4353" max="4353" width="18.125" style="96" bestFit="1" customWidth="1"/>
    <col min="4354" max="4354" width="10" style="96" customWidth="1"/>
    <col min="4355" max="4355" width="14.5" style="96" customWidth="1"/>
    <col min="4356" max="4356" width="16" style="96" customWidth="1"/>
    <col min="4357" max="4357" width="15" style="96" customWidth="1"/>
    <col min="4358" max="4358" width="14.125" style="96" bestFit="1" customWidth="1"/>
    <col min="4359" max="4359" width="15" style="96" bestFit="1" customWidth="1"/>
    <col min="4360" max="4360" width="13" style="96" customWidth="1"/>
    <col min="4361" max="4361" width="14.5" style="96" customWidth="1"/>
    <col min="4362" max="4362" width="15" style="96" customWidth="1"/>
    <col min="4363" max="4363" width="16.125" style="96" customWidth="1"/>
    <col min="4364" max="4608" width="11" style="96"/>
    <col min="4609" max="4609" width="18.125" style="96" bestFit="1" customWidth="1"/>
    <col min="4610" max="4610" width="10" style="96" customWidth="1"/>
    <col min="4611" max="4611" width="14.5" style="96" customWidth="1"/>
    <col min="4612" max="4612" width="16" style="96" customWidth="1"/>
    <col min="4613" max="4613" width="15" style="96" customWidth="1"/>
    <col min="4614" max="4614" width="14.125" style="96" bestFit="1" customWidth="1"/>
    <col min="4615" max="4615" width="15" style="96" bestFit="1" customWidth="1"/>
    <col min="4616" max="4616" width="13" style="96" customWidth="1"/>
    <col min="4617" max="4617" width="14.5" style="96" customWidth="1"/>
    <col min="4618" max="4618" width="15" style="96" customWidth="1"/>
    <col min="4619" max="4619" width="16.125" style="96" customWidth="1"/>
    <col min="4620" max="4864" width="11" style="96"/>
    <col min="4865" max="4865" width="18.125" style="96" bestFit="1" customWidth="1"/>
    <col min="4866" max="4866" width="10" style="96" customWidth="1"/>
    <col min="4867" max="4867" width="14.5" style="96" customWidth="1"/>
    <col min="4868" max="4868" width="16" style="96" customWidth="1"/>
    <col min="4869" max="4869" width="15" style="96" customWidth="1"/>
    <col min="4870" max="4870" width="14.125" style="96" bestFit="1" customWidth="1"/>
    <col min="4871" max="4871" width="15" style="96" bestFit="1" customWidth="1"/>
    <col min="4872" max="4872" width="13" style="96" customWidth="1"/>
    <col min="4873" max="4873" width="14.5" style="96" customWidth="1"/>
    <col min="4874" max="4874" width="15" style="96" customWidth="1"/>
    <col min="4875" max="4875" width="16.125" style="96" customWidth="1"/>
    <col min="4876" max="5120" width="11" style="96"/>
    <col min="5121" max="5121" width="18.125" style="96" bestFit="1" customWidth="1"/>
    <col min="5122" max="5122" width="10" style="96" customWidth="1"/>
    <col min="5123" max="5123" width="14.5" style="96" customWidth="1"/>
    <col min="5124" max="5124" width="16" style="96" customWidth="1"/>
    <col min="5125" max="5125" width="15" style="96" customWidth="1"/>
    <col min="5126" max="5126" width="14.125" style="96" bestFit="1" customWidth="1"/>
    <col min="5127" max="5127" width="15" style="96" bestFit="1" customWidth="1"/>
    <col min="5128" max="5128" width="13" style="96" customWidth="1"/>
    <col min="5129" max="5129" width="14.5" style="96" customWidth="1"/>
    <col min="5130" max="5130" width="15" style="96" customWidth="1"/>
    <col min="5131" max="5131" width="16.125" style="96" customWidth="1"/>
    <col min="5132" max="5376" width="11" style="96"/>
    <col min="5377" max="5377" width="18.125" style="96" bestFit="1" customWidth="1"/>
    <col min="5378" max="5378" width="10" style="96" customWidth="1"/>
    <col min="5379" max="5379" width="14.5" style="96" customWidth="1"/>
    <col min="5380" max="5380" width="16" style="96" customWidth="1"/>
    <col min="5381" max="5381" width="15" style="96" customWidth="1"/>
    <col min="5382" max="5382" width="14.125" style="96" bestFit="1" customWidth="1"/>
    <col min="5383" max="5383" width="15" style="96" bestFit="1" customWidth="1"/>
    <col min="5384" max="5384" width="13" style="96" customWidth="1"/>
    <col min="5385" max="5385" width="14.5" style="96" customWidth="1"/>
    <col min="5386" max="5386" width="15" style="96" customWidth="1"/>
    <col min="5387" max="5387" width="16.125" style="96" customWidth="1"/>
    <col min="5388" max="5632" width="11" style="96"/>
    <col min="5633" max="5633" width="18.125" style="96" bestFit="1" customWidth="1"/>
    <col min="5634" max="5634" width="10" style="96" customWidth="1"/>
    <col min="5635" max="5635" width="14.5" style="96" customWidth="1"/>
    <col min="5636" max="5636" width="16" style="96" customWidth="1"/>
    <col min="5637" max="5637" width="15" style="96" customWidth="1"/>
    <col min="5638" max="5638" width="14.125" style="96" bestFit="1" customWidth="1"/>
    <col min="5639" max="5639" width="15" style="96" bestFit="1" customWidth="1"/>
    <col min="5640" max="5640" width="13" style="96" customWidth="1"/>
    <col min="5641" max="5641" width="14.5" style="96" customWidth="1"/>
    <col min="5642" max="5642" width="15" style="96" customWidth="1"/>
    <col min="5643" max="5643" width="16.125" style="96" customWidth="1"/>
    <col min="5644" max="5888" width="11" style="96"/>
    <col min="5889" max="5889" width="18.125" style="96" bestFit="1" customWidth="1"/>
    <col min="5890" max="5890" width="10" style="96" customWidth="1"/>
    <col min="5891" max="5891" width="14.5" style="96" customWidth="1"/>
    <col min="5892" max="5892" width="16" style="96" customWidth="1"/>
    <col min="5893" max="5893" width="15" style="96" customWidth="1"/>
    <col min="5894" max="5894" width="14.125" style="96" bestFit="1" customWidth="1"/>
    <col min="5895" max="5895" width="15" style="96" bestFit="1" customWidth="1"/>
    <col min="5896" max="5896" width="13" style="96" customWidth="1"/>
    <col min="5897" max="5897" width="14.5" style="96" customWidth="1"/>
    <col min="5898" max="5898" width="15" style="96" customWidth="1"/>
    <col min="5899" max="5899" width="16.125" style="96" customWidth="1"/>
    <col min="5900" max="6144" width="11" style="96"/>
    <col min="6145" max="6145" width="18.125" style="96" bestFit="1" customWidth="1"/>
    <col min="6146" max="6146" width="10" style="96" customWidth="1"/>
    <col min="6147" max="6147" width="14.5" style="96" customWidth="1"/>
    <col min="6148" max="6148" width="16" style="96" customWidth="1"/>
    <col min="6149" max="6149" width="15" style="96" customWidth="1"/>
    <col min="6150" max="6150" width="14.125" style="96" bestFit="1" customWidth="1"/>
    <col min="6151" max="6151" width="15" style="96" bestFit="1" customWidth="1"/>
    <col min="6152" max="6152" width="13" style="96" customWidth="1"/>
    <col min="6153" max="6153" width="14.5" style="96" customWidth="1"/>
    <col min="6154" max="6154" width="15" style="96" customWidth="1"/>
    <col min="6155" max="6155" width="16.125" style="96" customWidth="1"/>
    <col min="6156" max="6400" width="11" style="96"/>
    <col min="6401" max="6401" width="18.125" style="96" bestFit="1" customWidth="1"/>
    <col min="6402" max="6402" width="10" style="96" customWidth="1"/>
    <col min="6403" max="6403" width="14.5" style="96" customWidth="1"/>
    <col min="6404" max="6404" width="16" style="96" customWidth="1"/>
    <col min="6405" max="6405" width="15" style="96" customWidth="1"/>
    <col min="6406" max="6406" width="14.125" style="96" bestFit="1" customWidth="1"/>
    <col min="6407" max="6407" width="15" style="96" bestFit="1" customWidth="1"/>
    <col min="6408" max="6408" width="13" style="96" customWidth="1"/>
    <col min="6409" max="6409" width="14.5" style="96" customWidth="1"/>
    <col min="6410" max="6410" width="15" style="96" customWidth="1"/>
    <col min="6411" max="6411" width="16.125" style="96" customWidth="1"/>
    <col min="6412" max="6656" width="11" style="96"/>
    <col min="6657" max="6657" width="18.125" style="96" bestFit="1" customWidth="1"/>
    <col min="6658" max="6658" width="10" style="96" customWidth="1"/>
    <col min="6659" max="6659" width="14.5" style="96" customWidth="1"/>
    <col min="6660" max="6660" width="16" style="96" customWidth="1"/>
    <col min="6661" max="6661" width="15" style="96" customWidth="1"/>
    <col min="6662" max="6662" width="14.125" style="96" bestFit="1" customWidth="1"/>
    <col min="6663" max="6663" width="15" style="96" bestFit="1" customWidth="1"/>
    <col min="6664" max="6664" width="13" style="96" customWidth="1"/>
    <col min="6665" max="6665" width="14.5" style="96" customWidth="1"/>
    <col min="6666" max="6666" width="15" style="96" customWidth="1"/>
    <col min="6667" max="6667" width="16.125" style="96" customWidth="1"/>
    <col min="6668" max="6912" width="11" style="96"/>
    <col min="6913" max="6913" width="18.125" style="96" bestFit="1" customWidth="1"/>
    <col min="6914" max="6914" width="10" style="96" customWidth="1"/>
    <col min="6915" max="6915" width="14.5" style="96" customWidth="1"/>
    <col min="6916" max="6916" width="16" style="96" customWidth="1"/>
    <col min="6917" max="6917" width="15" style="96" customWidth="1"/>
    <col min="6918" max="6918" width="14.125" style="96" bestFit="1" customWidth="1"/>
    <col min="6919" max="6919" width="15" style="96" bestFit="1" customWidth="1"/>
    <col min="6920" max="6920" width="13" style="96" customWidth="1"/>
    <col min="6921" max="6921" width="14.5" style="96" customWidth="1"/>
    <col min="6922" max="6922" width="15" style="96" customWidth="1"/>
    <col min="6923" max="6923" width="16.125" style="96" customWidth="1"/>
    <col min="6924" max="7168" width="11" style="96"/>
    <col min="7169" max="7169" width="18.125" style="96" bestFit="1" customWidth="1"/>
    <col min="7170" max="7170" width="10" style="96" customWidth="1"/>
    <col min="7171" max="7171" width="14.5" style="96" customWidth="1"/>
    <col min="7172" max="7172" width="16" style="96" customWidth="1"/>
    <col min="7173" max="7173" width="15" style="96" customWidth="1"/>
    <col min="7174" max="7174" width="14.125" style="96" bestFit="1" customWidth="1"/>
    <col min="7175" max="7175" width="15" style="96" bestFit="1" customWidth="1"/>
    <col min="7176" max="7176" width="13" style="96" customWidth="1"/>
    <col min="7177" max="7177" width="14.5" style="96" customWidth="1"/>
    <col min="7178" max="7178" width="15" style="96" customWidth="1"/>
    <col min="7179" max="7179" width="16.125" style="96" customWidth="1"/>
    <col min="7180" max="7424" width="11" style="96"/>
    <col min="7425" max="7425" width="18.125" style="96" bestFit="1" customWidth="1"/>
    <col min="7426" max="7426" width="10" style="96" customWidth="1"/>
    <col min="7427" max="7427" width="14.5" style="96" customWidth="1"/>
    <col min="7428" max="7428" width="16" style="96" customWidth="1"/>
    <col min="7429" max="7429" width="15" style="96" customWidth="1"/>
    <col min="7430" max="7430" width="14.125" style="96" bestFit="1" customWidth="1"/>
    <col min="7431" max="7431" width="15" style="96" bestFit="1" customWidth="1"/>
    <col min="7432" max="7432" width="13" style="96" customWidth="1"/>
    <col min="7433" max="7433" width="14.5" style="96" customWidth="1"/>
    <col min="7434" max="7434" width="15" style="96" customWidth="1"/>
    <col min="7435" max="7435" width="16.125" style="96" customWidth="1"/>
    <col min="7436" max="7680" width="11" style="96"/>
    <col min="7681" max="7681" width="18.125" style="96" bestFit="1" customWidth="1"/>
    <col min="7682" max="7682" width="10" style="96" customWidth="1"/>
    <col min="7683" max="7683" width="14.5" style="96" customWidth="1"/>
    <col min="7684" max="7684" width="16" style="96" customWidth="1"/>
    <col min="7685" max="7685" width="15" style="96" customWidth="1"/>
    <col min="7686" max="7686" width="14.125" style="96" bestFit="1" customWidth="1"/>
    <col min="7687" max="7687" width="15" style="96" bestFit="1" customWidth="1"/>
    <col min="7688" max="7688" width="13" style="96" customWidth="1"/>
    <col min="7689" max="7689" width="14.5" style="96" customWidth="1"/>
    <col min="7690" max="7690" width="15" style="96" customWidth="1"/>
    <col min="7691" max="7691" width="16.125" style="96" customWidth="1"/>
    <col min="7692" max="7936" width="11" style="96"/>
    <col min="7937" max="7937" width="18.125" style="96" bestFit="1" customWidth="1"/>
    <col min="7938" max="7938" width="10" style="96" customWidth="1"/>
    <col min="7939" max="7939" width="14.5" style="96" customWidth="1"/>
    <col min="7940" max="7940" width="16" style="96" customWidth="1"/>
    <col min="7941" max="7941" width="15" style="96" customWidth="1"/>
    <col min="7942" max="7942" width="14.125" style="96" bestFit="1" customWidth="1"/>
    <col min="7943" max="7943" width="15" style="96" bestFit="1" customWidth="1"/>
    <col min="7944" max="7944" width="13" style="96" customWidth="1"/>
    <col min="7945" max="7945" width="14.5" style="96" customWidth="1"/>
    <col min="7946" max="7946" width="15" style="96" customWidth="1"/>
    <col min="7947" max="7947" width="16.125" style="96" customWidth="1"/>
    <col min="7948" max="8192" width="11" style="96"/>
    <col min="8193" max="8193" width="18.125" style="96" bestFit="1" customWidth="1"/>
    <col min="8194" max="8194" width="10" style="96" customWidth="1"/>
    <col min="8195" max="8195" width="14.5" style="96" customWidth="1"/>
    <col min="8196" max="8196" width="16" style="96" customWidth="1"/>
    <col min="8197" max="8197" width="15" style="96" customWidth="1"/>
    <col min="8198" max="8198" width="14.125" style="96" bestFit="1" customWidth="1"/>
    <col min="8199" max="8199" width="15" style="96" bestFit="1" customWidth="1"/>
    <col min="8200" max="8200" width="13" style="96" customWidth="1"/>
    <col min="8201" max="8201" width="14.5" style="96" customWidth="1"/>
    <col min="8202" max="8202" width="15" style="96" customWidth="1"/>
    <col min="8203" max="8203" width="16.125" style="96" customWidth="1"/>
    <col min="8204" max="8448" width="11" style="96"/>
    <col min="8449" max="8449" width="18.125" style="96" bestFit="1" customWidth="1"/>
    <col min="8450" max="8450" width="10" style="96" customWidth="1"/>
    <col min="8451" max="8451" width="14.5" style="96" customWidth="1"/>
    <col min="8452" max="8452" width="16" style="96" customWidth="1"/>
    <col min="8453" max="8453" width="15" style="96" customWidth="1"/>
    <col min="8454" max="8454" width="14.125" style="96" bestFit="1" customWidth="1"/>
    <col min="8455" max="8455" width="15" style="96" bestFit="1" customWidth="1"/>
    <col min="8456" max="8456" width="13" style="96" customWidth="1"/>
    <col min="8457" max="8457" width="14.5" style="96" customWidth="1"/>
    <col min="8458" max="8458" width="15" style="96" customWidth="1"/>
    <col min="8459" max="8459" width="16.125" style="96" customWidth="1"/>
    <col min="8460" max="8704" width="11" style="96"/>
    <col min="8705" max="8705" width="18.125" style="96" bestFit="1" customWidth="1"/>
    <col min="8706" max="8706" width="10" style="96" customWidth="1"/>
    <col min="8707" max="8707" width="14.5" style="96" customWidth="1"/>
    <col min="8708" max="8708" width="16" style="96" customWidth="1"/>
    <col min="8709" max="8709" width="15" style="96" customWidth="1"/>
    <col min="8710" max="8710" width="14.125" style="96" bestFit="1" customWidth="1"/>
    <col min="8711" max="8711" width="15" style="96" bestFit="1" customWidth="1"/>
    <col min="8712" max="8712" width="13" style="96" customWidth="1"/>
    <col min="8713" max="8713" width="14.5" style="96" customWidth="1"/>
    <col min="8714" max="8714" width="15" style="96" customWidth="1"/>
    <col min="8715" max="8715" width="16.125" style="96" customWidth="1"/>
    <col min="8716" max="8960" width="11" style="96"/>
    <col min="8961" max="8961" width="18.125" style="96" bestFit="1" customWidth="1"/>
    <col min="8962" max="8962" width="10" style="96" customWidth="1"/>
    <col min="8963" max="8963" width="14.5" style="96" customWidth="1"/>
    <col min="8964" max="8964" width="16" style="96" customWidth="1"/>
    <col min="8965" max="8965" width="15" style="96" customWidth="1"/>
    <col min="8966" max="8966" width="14.125" style="96" bestFit="1" customWidth="1"/>
    <col min="8967" max="8967" width="15" style="96" bestFit="1" customWidth="1"/>
    <col min="8968" max="8968" width="13" style="96" customWidth="1"/>
    <col min="8969" max="8969" width="14.5" style="96" customWidth="1"/>
    <col min="8970" max="8970" width="15" style="96" customWidth="1"/>
    <col min="8971" max="8971" width="16.125" style="96" customWidth="1"/>
    <col min="8972" max="9216" width="11" style="96"/>
    <col min="9217" max="9217" width="18.125" style="96" bestFit="1" customWidth="1"/>
    <col min="9218" max="9218" width="10" style="96" customWidth="1"/>
    <col min="9219" max="9219" width="14.5" style="96" customWidth="1"/>
    <col min="9220" max="9220" width="16" style="96" customWidth="1"/>
    <col min="9221" max="9221" width="15" style="96" customWidth="1"/>
    <col min="9222" max="9222" width="14.125" style="96" bestFit="1" customWidth="1"/>
    <col min="9223" max="9223" width="15" style="96" bestFit="1" customWidth="1"/>
    <col min="9224" max="9224" width="13" style="96" customWidth="1"/>
    <col min="9225" max="9225" width="14.5" style="96" customWidth="1"/>
    <col min="9226" max="9226" width="15" style="96" customWidth="1"/>
    <col min="9227" max="9227" width="16.125" style="96" customWidth="1"/>
    <col min="9228" max="9472" width="11" style="96"/>
    <col min="9473" max="9473" width="18.125" style="96" bestFit="1" customWidth="1"/>
    <col min="9474" max="9474" width="10" style="96" customWidth="1"/>
    <col min="9475" max="9475" width="14.5" style="96" customWidth="1"/>
    <col min="9476" max="9476" width="16" style="96" customWidth="1"/>
    <col min="9477" max="9477" width="15" style="96" customWidth="1"/>
    <col min="9478" max="9478" width="14.125" style="96" bestFit="1" customWidth="1"/>
    <col min="9479" max="9479" width="15" style="96" bestFit="1" customWidth="1"/>
    <col min="9480" max="9480" width="13" style="96" customWidth="1"/>
    <col min="9481" max="9481" width="14.5" style="96" customWidth="1"/>
    <col min="9482" max="9482" width="15" style="96" customWidth="1"/>
    <col min="9483" max="9483" width="16.125" style="96" customWidth="1"/>
    <col min="9484" max="9728" width="11" style="96"/>
    <col min="9729" max="9729" width="18.125" style="96" bestFit="1" customWidth="1"/>
    <col min="9730" max="9730" width="10" style="96" customWidth="1"/>
    <col min="9731" max="9731" width="14.5" style="96" customWidth="1"/>
    <col min="9732" max="9732" width="16" style="96" customWidth="1"/>
    <col min="9733" max="9733" width="15" style="96" customWidth="1"/>
    <col min="9734" max="9734" width="14.125" style="96" bestFit="1" customWidth="1"/>
    <col min="9735" max="9735" width="15" style="96" bestFit="1" customWidth="1"/>
    <col min="9736" max="9736" width="13" style="96" customWidth="1"/>
    <col min="9737" max="9737" width="14.5" style="96" customWidth="1"/>
    <col min="9738" max="9738" width="15" style="96" customWidth="1"/>
    <col min="9739" max="9739" width="16.125" style="96" customWidth="1"/>
    <col min="9740" max="9984" width="11" style="96"/>
    <col min="9985" max="9985" width="18.125" style="96" bestFit="1" customWidth="1"/>
    <col min="9986" max="9986" width="10" style="96" customWidth="1"/>
    <col min="9987" max="9987" width="14.5" style="96" customWidth="1"/>
    <col min="9988" max="9988" width="16" style="96" customWidth="1"/>
    <col min="9989" max="9989" width="15" style="96" customWidth="1"/>
    <col min="9990" max="9990" width="14.125" style="96" bestFit="1" customWidth="1"/>
    <col min="9991" max="9991" width="15" style="96" bestFit="1" customWidth="1"/>
    <col min="9992" max="9992" width="13" style="96" customWidth="1"/>
    <col min="9993" max="9993" width="14.5" style="96" customWidth="1"/>
    <col min="9994" max="9994" width="15" style="96" customWidth="1"/>
    <col min="9995" max="9995" width="16.125" style="96" customWidth="1"/>
    <col min="9996" max="10240" width="11" style="96"/>
    <col min="10241" max="10241" width="18.125" style="96" bestFit="1" customWidth="1"/>
    <col min="10242" max="10242" width="10" style="96" customWidth="1"/>
    <col min="10243" max="10243" width="14.5" style="96" customWidth="1"/>
    <col min="10244" max="10244" width="16" style="96" customWidth="1"/>
    <col min="10245" max="10245" width="15" style="96" customWidth="1"/>
    <col min="10246" max="10246" width="14.125" style="96" bestFit="1" customWidth="1"/>
    <col min="10247" max="10247" width="15" style="96" bestFit="1" customWidth="1"/>
    <col min="10248" max="10248" width="13" style="96" customWidth="1"/>
    <col min="10249" max="10249" width="14.5" style="96" customWidth="1"/>
    <col min="10250" max="10250" width="15" style="96" customWidth="1"/>
    <col min="10251" max="10251" width="16.125" style="96" customWidth="1"/>
    <col min="10252" max="10496" width="11" style="96"/>
    <col min="10497" max="10497" width="18.125" style="96" bestFit="1" customWidth="1"/>
    <col min="10498" max="10498" width="10" style="96" customWidth="1"/>
    <col min="10499" max="10499" width="14.5" style="96" customWidth="1"/>
    <col min="10500" max="10500" width="16" style="96" customWidth="1"/>
    <col min="10501" max="10501" width="15" style="96" customWidth="1"/>
    <col min="10502" max="10502" width="14.125" style="96" bestFit="1" customWidth="1"/>
    <col min="10503" max="10503" width="15" style="96" bestFit="1" customWidth="1"/>
    <col min="10504" max="10504" width="13" style="96" customWidth="1"/>
    <col min="10505" max="10505" width="14.5" style="96" customWidth="1"/>
    <col min="10506" max="10506" width="15" style="96" customWidth="1"/>
    <col min="10507" max="10507" width="16.125" style="96" customWidth="1"/>
    <col min="10508" max="10752" width="11" style="96"/>
    <col min="10753" max="10753" width="18.125" style="96" bestFit="1" customWidth="1"/>
    <col min="10754" max="10754" width="10" style="96" customWidth="1"/>
    <col min="10755" max="10755" width="14.5" style="96" customWidth="1"/>
    <col min="10756" max="10756" width="16" style="96" customWidth="1"/>
    <col min="10757" max="10757" width="15" style="96" customWidth="1"/>
    <col min="10758" max="10758" width="14.125" style="96" bestFit="1" customWidth="1"/>
    <col min="10759" max="10759" width="15" style="96" bestFit="1" customWidth="1"/>
    <col min="10760" max="10760" width="13" style="96" customWidth="1"/>
    <col min="10761" max="10761" width="14.5" style="96" customWidth="1"/>
    <col min="10762" max="10762" width="15" style="96" customWidth="1"/>
    <col min="10763" max="10763" width="16.125" style="96" customWidth="1"/>
    <col min="10764" max="11008" width="11" style="96"/>
    <col min="11009" max="11009" width="18.125" style="96" bestFit="1" customWidth="1"/>
    <col min="11010" max="11010" width="10" style="96" customWidth="1"/>
    <col min="11011" max="11011" width="14.5" style="96" customWidth="1"/>
    <col min="11012" max="11012" width="16" style="96" customWidth="1"/>
    <col min="11013" max="11013" width="15" style="96" customWidth="1"/>
    <col min="11014" max="11014" width="14.125" style="96" bestFit="1" customWidth="1"/>
    <col min="11015" max="11015" width="15" style="96" bestFit="1" customWidth="1"/>
    <col min="11016" max="11016" width="13" style="96" customWidth="1"/>
    <col min="11017" max="11017" width="14.5" style="96" customWidth="1"/>
    <col min="11018" max="11018" width="15" style="96" customWidth="1"/>
    <col min="11019" max="11019" width="16.125" style="96" customWidth="1"/>
    <col min="11020" max="11264" width="11" style="96"/>
    <col min="11265" max="11265" width="18.125" style="96" bestFit="1" customWidth="1"/>
    <col min="11266" max="11266" width="10" style="96" customWidth="1"/>
    <col min="11267" max="11267" width="14.5" style="96" customWidth="1"/>
    <col min="11268" max="11268" width="16" style="96" customWidth="1"/>
    <col min="11269" max="11269" width="15" style="96" customWidth="1"/>
    <col min="11270" max="11270" width="14.125" style="96" bestFit="1" customWidth="1"/>
    <col min="11271" max="11271" width="15" style="96" bestFit="1" customWidth="1"/>
    <col min="11272" max="11272" width="13" style="96" customWidth="1"/>
    <col min="11273" max="11273" width="14.5" style="96" customWidth="1"/>
    <col min="11274" max="11274" width="15" style="96" customWidth="1"/>
    <col min="11275" max="11275" width="16.125" style="96" customWidth="1"/>
    <col min="11276" max="11520" width="11" style="96"/>
    <col min="11521" max="11521" width="18.125" style="96" bestFit="1" customWidth="1"/>
    <col min="11522" max="11522" width="10" style="96" customWidth="1"/>
    <col min="11523" max="11523" width="14.5" style="96" customWidth="1"/>
    <col min="11524" max="11524" width="16" style="96" customWidth="1"/>
    <col min="11525" max="11525" width="15" style="96" customWidth="1"/>
    <col min="11526" max="11526" width="14.125" style="96" bestFit="1" customWidth="1"/>
    <col min="11527" max="11527" width="15" style="96" bestFit="1" customWidth="1"/>
    <col min="11528" max="11528" width="13" style="96" customWidth="1"/>
    <col min="11529" max="11529" width="14.5" style="96" customWidth="1"/>
    <col min="11530" max="11530" width="15" style="96" customWidth="1"/>
    <col min="11531" max="11531" width="16.125" style="96" customWidth="1"/>
    <col min="11532" max="11776" width="11" style="96"/>
    <col min="11777" max="11777" width="18.125" style="96" bestFit="1" customWidth="1"/>
    <col min="11778" max="11778" width="10" style="96" customWidth="1"/>
    <col min="11779" max="11779" width="14.5" style="96" customWidth="1"/>
    <col min="11780" max="11780" width="16" style="96" customWidth="1"/>
    <col min="11781" max="11781" width="15" style="96" customWidth="1"/>
    <col min="11782" max="11782" width="14.125" style="96" bestFit="1" customWidth="1"/>
    <col min="11783" max="11783" width="15" style="96" bestFit="1" customWidth="1"/>
    <col min="11784" max="11784" width="13" style="96" customWidth="1"/>
    <col min="11785" max="11785" width="14.5" style="96" customWidth="1"/>
    <col min="11786" max="11786" width="15" style="96" customWidth="1"/>
    <col min="11787" max="11787" width="16.125" style="96" customWidth="1"/>
    <col min="11788" max="12032" width="11" style="96"/>
    <col min="12033" max="12033" width="18.125" style="96" bestFit="1" customWidth="1"/>
    <col min="12034" max="12034" width="10" style="96" customWidth="1"/>
    <col min="12035" max="12035" width="14.5" style="96" customWidth="1"/>
    <col min="12036" max="12036" width="16" style="96" customWidth="1"/>
    <col min="12037" max="12037" width="15" style="96" customWidth="1"/>
    <col min="12038" max="12038" width="14.125" style="96" bestFit="1" customWidth="1"/>
    <col min="12039" max="12039" width="15" style="96" bestFit="1" customWidth="1"/>
    <col min="12040" max="12040" width="13" style="96" customWidth="1"/>
    <col min="12041" max="12041" width="14.5" style="96" customWidth="1"/>
    <col min="12042" max="12042" width="15" style="96" customWidth="1"/>
    <col min="12043" max="12043" width="16.125" style="96" customWidth="1"/>
    <col min="12044" max="12288" width="11" style="96"/>
    <col min="12289" max="12289" width="18.125" style="96" bestFit="1" customWidth="1"/>
    <col min="12290" max="12290" width="10" style="96" customWidth="1"/>
    <col min="12291" max="12291" width="14.5" style="96" customWidth="1"/>
    <col min="12292" max="12292" width="16" style="96" customWidth="1"/>
    <col min="12293" max="12293" width="15" style="96" customWidth="1"/>
    <col min="12294" max="12294" width="14.125" style="96" bestFit="1" customWidth="1"/>
    <col min="12295" max="12295" width="15" style="96" bestFit="1" customWidth="1"/>
    <col min="12296" max="12296" width="13" style="96" customWidth="1"/>
    <col min="12297" max="12297" width="14.5" style="96" customWidth="1"/>
    <col min="12298" max="12298" width="15" style="96" customWidth="1"/>
    <col min="12299" max="12299" width="16.125" style="96" customWidth="1"/>
    <col min="12300" max="12544" width="11" style="96"/>
    <col min="12545" max="12545" width="18.125" style="96" bestFit="1" customWidth="1"/>
    <col min="12546" max="12546" width="10" style="96" customWidth="1"/>
    <col min="12547" max="12547" width="14.5" style="96" customWidth="1"/>
    <col min="12548" max="12548" width="16" style="96" customWidth="1"/>
    <col min="12549" max="12549" width="15" style="96" customWidth="1"/>
    <col min="12550" max="12550" width="14.125" style="96" bestFit="1" customWidth="1"/>
    <col min="12551" max="12551" width="15" style="96" bestFit="1" customWidth="1"/>
    <col min="12552" max="12552" width="13" style="96" customWidth="1"/>
    <col min="12553" max="12553" width="14.5" style="96" customWidth="1"/>
    <col min="12554" max="12554" width="15" style="96" customWidth="1"/>
    <col min="12555" max="12555" width="16.125" style="96" customWidth="1"/>
    <col min="12556" max="12800" width="11" style="96"/>
    <col min="12801" max="12801" width="18.125" style="96" bestFit="1" customWidth="1"/>
    <col min="12802" max="12802" width="10" style="96" customWidth="1"/>
    <col min="12803" max="12803" width="14.5" style="96" customWidth="1"/>
    <col min="12804" max="12804" width="16" style="96" customWidth="1"/>
    <col min="12805" max="12805" width="15" style="96" customWidth="1"/>
    <col min="12806" max="12806" width="14.125" style="96" bestFit="1" customWidth="1"/>
    <col min="12807" max="12807" width="15" style="96" bestFit="1" customWidth="1"/>
    <col min="12808" max="12808" width="13" style="96" customWidth="1"/>
    <col min="12809" max="12809" width="14.5" style="96" customWidth="1"/>
    <col min="12810" max="12810" width="15" style="96" customWidth="1"/>
    <col min="12811" max="12811" width="16.125" style="96" customWidth="1"/>
    <col min="12812" max="13056" width="11" style="96"/>
    <col min="13057" max="13057" width="18.125" style="96" bestFit="1" customWidth="1"/>
    <col min="13058" max="13058" width="10" style="96" customWidth="1"/>
    <col min="13059" max="13059" width="14.5" style="96" customWidth="1"/>
    <col min="13060" max="13060" width="16" style="96" customWidth="1"/>
    <col min="13061" max="13061" width="15" style="96" customWidth="1"/>
    <col min="13062" max="13062" width="14.125" style="96" bestFit="1" customWidth="1"/>
    <col min="13063" max="13063" width="15" style="96" bestFit="1" customWidth="1"/>
    <col min="13064" max="13064" width="13" style="96" customWidth="1"/>
    <col min="13065" max="13065" width="14.5" style="96" customWidth="1"/>
    <col min="13066" max="13066" width="15" style="96" customWidth="1"/>
    <col min="13067" max="13067" width="16.125" style="96" customWidth="1"/>
    <col min="13068" max="13312" width="11" style="96"/>
    <col min="13313" max="13313" width="18.125" style="96" bestFit="1" customWidth="1"/>
    <col min="13314" max="13314" width="10" style="96" customWidth="1"/>
    <col min="13315" max="13315" width="14.5" style="96" customWidth="1"/>
    <col min="13316" max="13316" width="16" style="96" customWidth="1"/>
    <col min="13317" max="13317" width="15" style="96" customWidth="1"/>
    <col min="13318" max="13318" width="14.125" style="96" bestFit="1" customWidth="1"/>
    <col min="13319" max="13319" width="15" style="96" bestFit="1" customWidth="1"/>
    <col min="13320" max="13320" width="13" style="96" customWidth="1"/>
    <col min="13321" max="13321" width="14.5" style="96" customWidth="1"/>
    <col min="13322" max="13322" width="15" style="96" customWidth="1"/>
    <col min="13323" max="13323" width="16.125" style="96" customWidth="1"/>
    <col min="13324" max="13568" width="11" style="96"/>
    <col min="13569" max="13569" width="18.125" style="96" bestFit="1" customWidth="1"/>
    <col min="13570" max="13570" width="10" style="96" customWidth="1"/>
    <col min="13571" max="13571" width="14.5" style="96" customWidth="1"/>
    <col min="13572" max="13572" width="16" style="96" customWidth="1"/>
    <col min="13573" max="13573" width="15" style="96" customWidth="1"/>
    <col min="13574" max="13574" width="14.125" style="96" bestFit="1" customWidth="1"/>
    <col min="13575" max="13575" width="15" style="96" bestFit="1" customWidth="1"/>
    <col min="13576" max="13576" width="13" style="96" customWidth="1"/>
    <col min="13577" max="13577" width="14.5" style="96" customWidth="1"/>
    <col min="13578" max="13578" width="15" style="96" customWidth="1"/>
    <col min="13579" max="13579" width="16.125" style="96" customWidth="1"/>
    <col min="13580" max="13824" width="11" style="96"/>
    <col min="13825" max="13825" width="18.125" style="96" bestFit="1" customWidth="1"/>
    <col min="13826" max="13826" width="10" style="96" customWidth="1"/>
    <col min="13827" max="13827" width="14.5" style="96" customWidth="1"/>
    <col min="13828" max="13828" width="16" style="96" customWidth="1"/>
    <col min="13829" max="13829" width="15" style="96" customWidth="1"/>
    <col min="13830" max="13830" width="14.125" style="96" bestFit="1" customWidth="1"/>
    <col min="13831" max="13831" width="15" style="96" bestFit="1" customWidth="1"/>
    <col min="13832" max="13832" width="13" style="96" customWidth="1"/>
    <col min="13833" max="13833" width="14.5" style="96" customWidth="1"/>
    <col min="13834" max="13834" width="15" style="96" customWidth="1"/>
    <col min="13835" max="13835" width="16.125" style="96" customWidth="1"/>
    <col min="13836" max="14080" width="11" style="96"/>
    <col min="14081" max="14081" width="18.125" style="96" bestFit="1" customWidth="1"/>
    <col min="14082" max="14082" width="10" style="96" customWidth="1"/>
    <col min="14083" max="14083" width="14.5" style="96" customWidth="1"/>
    <col min="14084" max="14084" width="16" style="96" customWidth="1"/>
    <col min="14085" max="14085" width="15" style="96" customWidth="1"/>
    <col min="14086" max="14086" width="14.125" style="96" bestFit="1" customWidth="1"/>
    <col min="14087" max="14087" width="15" style="96" bestFit="1" customWidth="1"/>
    <col min="14088" max="14088" width="13" style="96" customWidth="1"/>
    <col min="14089" max="14089" width="14.5" style="96" customWidth="1"/>
    <col min="14090" max="14090" width="15" style="96" customWidth="1"/>
    <col min="14091" max="14091" width="16.125" style="96" customWidth="1"/>
    <col min="14092" max="14336" width="11" style="96"/>
    <col min="14337" max="14337" width="18.125" style="96" bestFit="1" customWidth="1"/>
    <col min="14338" max="14338" width="10" style="96" customWidth="1"/>
    <col min="14339" max="14339" width="14.5" style="96" customWidth="1"/>
    <col min="14340" max="14340" width="16" style="96" customWidth="1"/>
    <col min="14341" max="14341" width="15" style="96" customWidth="1"/>
    <col min="14342" max="14342" width="14.125" style="96" bestFit="1" customWidth="1"/>
    <col min="14343" max="14343" width="15" style="96" bestFit="1" customWidth="1"/>
    <col min="14344" max="14344" width="13" style="96" customWidth="1"/>
    <col min="14345" max="14345" width="14.5" style="96" customWidth="1"/>
    <col min="14346" max="14346" width="15" style="96" customWidth="1"/>
    <col min="14347" max="14347" width="16.125" style="96" customWidth="1"/>
    <col min="14348" max="14592" width="11" style="96"/>
    <col min="14593" max="14593" width="18.125" style="96" bestFit="1" customWidth="1"/>
    <col min="14594" max="14594" width="10" style="96" customWidth="1"/>
    <col min="14595" max="14595" width="14.5" style="96" customWidth="1"/>
    <col min="14596" max="14596" width="16" style="96" customWidth="1"/>
    <col min="14597" max="14597" width="15" style="96" customWidth="1"/>
    <col min="14598" max="14598" width="14.125" style="96" bestFit="1" customWidth="1"/>
    <col min="14599" max="14599" width="15" style="96" bestFit="1" customWidth="1"/>
    <col min="14600" max="14600" width="13" style="96" customWidth="1"/>
    <col min="14601" max="14601" width="14.5" style="96" customWidth="1"/>
    <col min="14602" max="14602" width="15" style="96" customWidth="1"/>
    <col min="14603" max="14603" width="16.125" style="96" customWidth="1"/>
    <col min="14604" max="14848" width="11" style="96"/>
    <col min="14849" max="14849" width="18.125" style="96" bestFit="1" customWidth="1"/>
    <col min="14850" max="14850" width="10" style="96" customWidth="1"/>
    <col min="14851" max="14851" width="14.5" style="96" customWidth="1"/>
    <col min="14852" max="14852" width="16" style="96" customWidth="1"/>
    <col min="14853" max="14853" width="15" style="96" customWidth="1"/>
    <col min="14854" max="14854" width="14.125" style="96" bestFit="1" customWidth="1"/>
    <col min="14855" max="14855" width="15" style="96" bestFit="1" customWidth="1"/>
    <col min="14856" max="14856" width="13" style="96" customWidth="1"/>
    <col min="14857" max="14857" width="14.5" style="96" customWidth="1"/>
    <col min="14858" max="14858" width="15" style="96" customWidth="1"/>
    <col min="14859" max="14859" width="16.125" style="96" customWidth="1"/>
    <col min="14860" max="15104" width="11" style="96"/>
    <col min="15105" max="15105" width="18.125" style="96" bestFit="1" customWidth="1"/>
    <col min="15106" max="15106" width="10" style="96" customWidth="1"/>
    <col min="15107" max="15107" width="14.5" style="96" customWidth="1"/>
    <col min="15108" max="15108" width="16" style="96" customWidth="1"/>
    <col min="15109" max="15109" width="15" style="96" customWidth="1"/>
    <col min="15110" max="15110" width="14.125" style="96" bestFit="1" customWidth="1"/>
    <col min="15111" max="15111" width="15" style="96" bestFit="1" customWidth="1"/>
    <col min="15112" max="15112" width="13" style="96" customWidth="1"/>
    <col min="15113" max="15113" width="14.5" style="96" customWidth="1"/>
    <col min="15114" max="15114" width="15" style="96" customWidth="1"/>
    <col min="15115" max="15115" width="16.125" style="96" customWidth="1"/>
    <col min="15116" max="15360" width="11" style="96"/>
    <col min="15361" max="15361" width="18.125" style="96" bestFit="1" customWidth="1"/>
    <col min="15362" max="15362" width="10" style="96" customWidth="1"/>
    <col min="15363" max="15363" width="14.5" style="96" customWidth="1"/>
    <col min="15364" max="15364" width="16" style="96" customWidth="1"/>
    <col min="15365" max="15365" width="15" style="96" customWidth="1"/>
    <col min="15366" max="15366" width="14.125" style="96" bestFit="1" customWidth="1"/>
    <col min="15367" max="15367" width="15" style="96" bestFit="1" customWidth="1"/>
    <col min="15368" max="15368" width="13" style="96" customWidth="1"/>
    <col min="15369" max="15369" width="14.5" style="96" customWidth="1"/>
    <col min="15370" max="15370" width="15" style="96" customWidth="1"/>
    <col min="15371" max="15371" width="16.125" style="96" customWidth="1"/>
    <col min="15372" max="15616" width="11" style="96"/>
    <col min="15617" max="15617" width="18.125" style="96" bestFit="1" customWidth="1"/>
    <col min="15618" max="15618" width="10" style="96" customWidth="1"/>
    <col min="15619" max="15619" width="14.5" style="96" customWidth="1"/>
    <col min="15620" max="15620" width="16" style="96" customWidth="1"/>
    <col min="15621" max="15621" width="15" style="96" customWidth="1"/>
    <col min="15622" max="15622" width="14.125" style="96" bestFit="1" customWidth="1"/>
    <col min="15623" max="15623" width="15" style="96" bestFit="1" customWidth="1"/>
    <col min="15624" max="15624" width="13" style="96" customWidth="1"/>
    <col min="15625" max="15625" width="14.5" style="96" customWidth="1"/>
    <col min="15626" max="15626" width="15" style="96" customWidth="1"/>
    <col min="15627" max="15627" width="16.125" style="96" customWidth="1"/>
    <col min="15628" max="15872" width="11" style="96"/>
    <col min="15873" max="15873" width="18.125" style="96" bestFit="1" customWidth="1"/>
    <col min="15874" max="15874" width="10" style="96" customWidth="1"/>
    <col min="15875" max="15875" width="14.5" style="96" customWidth="1"/>
    <col min="15876" max="15876" width="16" style="96" customWidth="1"/>
    <col min="15877" max="15877" width="15" style="96" customWidth="1"/>
    <col min="15878" max="15878" width="14.125" style="96" bestFit="1" customWidth="1"/>
    <col min="15879" max="15879" width="15" style="96" bestFit="1" customWidth="1"/>
    <col min="15880" max="15880" width="13" style="96" customWidth="1"/>
    <col min="15881" max="15881" width="14.5" style="96" customWidth="1"/>
    <col min="15882" max="15882" width="15" style="96" customWidth="1"/>
    <col min="15883" max="15883" width="16.125" style="96" customWidth="1"/>
    <col min="15884" max="16128" width="11" style="96"/>
    <col min="16129" max="16129" width="18.125" style="96" bestFit="1" customWidth="1"/>
    <col min="16130" max="16130" width="10" style="96" customWidth="1"/>
    <col min="16131" max="16131" width="14.5" style="96" customWidth="1"/>
    <col min="16132" max="16132" width="16" style="96" customWidth="1"/>
    <col min="16133" max="16133" width="15" style="96" customWidth="1"/>
    <col min="16134" max="16134" width="14.125" style="96" bestFit="1" customWidth="1"/>
    <col min="16135" max="16135" width="15" style="96" bestFit="1" customWidth="1"/>
    <col min="16136" max="16136" width="13" style="96" customWidth="1"/>
    <col min="16137" max="16137" width="14.5" style="96" customWidth="1"/>
    <col min="16138" max="16138" width="15" style="96" customWidth="1"/>
    <col min="16139" max="16139" width="16.125" style="96" customWidth="1"/>
    <col min="16140" max="16384" width="11" style="96"/>
  </cols>
  <sheetData>
    <row r="1" spans="1:23">
      <c r="A1" s="95" t="s">
        <v>331</v>
      </c>
      <c r="B1" s="232">
        <v>43831</v>
      </c>
      <c r="C1" s="233"/>
      <c r="D1" s="233"/>
      <c r="E1" s="233"/>
      <c r="F1" s="233"/>
      <c r="G1" s="234"/>
      <c r="T1" s="140" t="s">
        <v>336</v>
      </c>
      <c r="U1" s="140"/>
      <c r="V1" s="140" t="s">
        <v>337</v>
      </c>
      <c r="W1" s="140"/>
    </row>
    <row r="2" spans="1:23">
      <c r="A2" s="98" t="s">
        <v>121</v>
      </c>
      <c r="B2" s="226" t="s">
        <v>122</v>
      </c>
      <c r="C2" s="227"/>
      <c r="D2" s="227"/>
      <c r="E2" s="227"/>
      <c r="F2" s="227"/>
      <c r="G2" s="228"/>
      <c r="T2" s="220">
        <v>44007</v>
      </c>
      <c r="U2" s="220"/>
      <c r="V2" s="221">
        <v>377</v>
      </c>
      <c r="W2" s="221"/>
    </row>
    <row r="3" spans="1:23">
      <c r="A3" s="98" t="s">
        <v>124</v>
      </c>
      <c r="B3" s="235" t="s">
        <v>286</v>
      </c>
      <c r="C3" s="236"/>
      <c r="D3" s="236"/>
      <c r="E3" s="237"/>
      <c r="F3" s="235" t="s">
        <v>126</v>
      </c>
      <c r="G3" s="238"/>
      <c r="H3" s="99"/>
      <c r="I3" s="99"/>
      <c r="J3" s="99"/>
      <c r="T3" s="220">
        <v>44006</v>
      </c>
      <c r="U3" s="220"/>
      <c r="V3" s="221">
        <v>376</v>
      </c>
      <c r="W3" s="221"/>
    </row>
    <row r="4" spans="1:23">
      <c r="A4" s="98" t="s">
        <v>127</v>
      </c>
      <c r="B4" s="239" t="s">
        <v>128</v>
      </c>
      <c r="C4" s="240"/>
      <c r="D4" s="240"/>
      <c r="E4" s="240"/>
      <c r="F4" s="240"/>
      <c r="G4" s="241"/>
      <c r="T4" s="220">
        <v>44005</v>
      </c>
      <c r="U4" s="220"/>
      <c r="V4" s="221">
        <v>375</v>
      </c>
      <c r="W4" s="221"/>
    </row>
    <row r="5" spans="1:23">
      <c r="A5" s="98" t="s">
        <v>129</v>
      </c>
      <c r="B5" s="242" t="s">
        <v>130</v>
      </c>
      <c r="C5" s="243"/>
      <c r="D5" s="243"/>
      <c r="E5" s="243"/>
      <c r="F5" s="243"/>
      <c r="G5" s="244"/>
      <c r="T5" s="220">
        <v>44004</v>
      </c>
      <c r="U5" s="220"/>
      <c r="V5" s="221">
        <v>375</v>
      </c>
      <c r="W5" s="221"/>
    </row>
    <row r="6" spans="1:23">
      <c r="A6" s="98" t="s">
        <v>131</v>
      </c>
      <c r="B6" s="226" t="s">
        <v>132</v>
      </c>
      <c r="C6" s="227"/>
      <c r="D6" s="227"/>
      <c r="E6" s="227"/>
      <c r="F6" s="227"/>
      <c r="G6" s="228"/>
      <c r="T6" s="220">
        <v>44001</v>
      </c>
      <c r="U6" s="220"/>
      <c r="V6" s="221">
        <v>377</v>
      </c>
      <c r="W6" s="221"/>
    </row>
    <row r="7" spans="1:23" ht="16.5" thickBot="1">
      <c r="A7" s="100" t="s">
        <v>133</v>
      </c>
      <c r="B7" s="229" t="s">
        <v>134</v>
      </c>
      <c r="C7" s="230"/>
      <c r="D7" s="230"/>
      <c r="E7" s="230"/>
      <c r="F7" s="230"/>
      <c r="G7" s="231"/>
      <c r="T7" s="220">
        <v>44000</v>
      </c>
      <c r="U7" s="220"/>
      <c r="V7" s="221">
        <v>380</v>
      </c>
      <c r="W7" s="221"/>
    </row>
    <row r="8" spans="1:23" s="102" customFormat="1" ht="18.75">
      <c r="A8" s="101" t="s">
        <v>287</v>
      </c>
      <c r="B8" s="101"/>
      <c r="C8" s="101"/>
      <c r="D8" s="101"/>
      <c r="E8" s="101"/>
      <c r="F8" s="101"/>
      <c r="G8" s="101"/>
      <c r="P8" s="103"/>
      <c r="T8" s="220">
        <v>43999</v>
      </c>
      <c r="U8" s="220"/>
      <c r="V8" s="221">
        <v>374</v>
      </c>
      <c r="W8" s="221"/>
    </row>
    <row r="9" spans="1:23">
      <c r="A9" s="96" t="s">
        <v>288</v>
      </c>
      <c r="C9" s="104" t="s">
        <v>289</v>
      </c>
      <c r="F9" s="105" t="s">
        <v>290</v>
      </c>
      <c r="G9" s="106"/>
      <c r="H9" s="106"/>
      <c r="I9" s="106"/>
      <c r="J9" s="106"/>
      <c r="K9" s="107"/>
      <c r="T9" s="220">
        <v>43998</v>
      </c>
      <c r="U9" s="220"/>
      <c r="V9" s="221">
        <v>367</v>
      </c>
      <c r="W9" s="221"/>
    </row>
    <row r="10" spans="1:23">
      <c r="A10" s="96" t="s">
        <v>291</v>
      </c>
      <c r="C10" s="104">
        <v>1981</v>
      </c>
      <c r="F10" s="108" t="s">
        <v>292</v>
      </c>
      <c r="G10" s="109"/>
      <c r="H10" s="109"/>
      <c r="I10" s="109"/>
      <c r="J10" s="109"/>
      <c r="K10" s="110"/>
      <c r="T10" s="220">
        <v>43997</v>
      </c>
      <c r="U10" s="220"/>
      <c r="V10" s="221">
        <v>387</v>
      </c>
      <c r="W10" s="221"/>
    </row>
    <row r="11" spans="1:23">
      <c r="E11" s="97"/>
      <c r="T11" s="220">
        <v>43994</v>
      </c>
      <c r="U11" s="220"/>
      <c r="V11" s="221">
        <v>384</v>
      </c>
      <c r="W11" s="221"/>
    </row>
    <row r="12" spans="1:23">
      <c r="A12" s="96" t="s">
        <v>293</v>
      </c>
      <c r="E12" s="111">
        <f>IF(C10=1928,100,VLOOKUP(C10-1,A19:H110,6))</f>
        <v>7934.2637789341807</v>
      </c>
      <c r="T12" s="220">
        <v>43993</v>
      </c>
      <c r="U12" s="220"/>
      <c r="V12" s="221">
        <v>389</v>
      </c>
      <c r="W12" s="221"/>
    </row>
    <row r="13" spans="1:23">
      <c r="A13" s="96" t="s">
        <v>294</v>
      </c>
      <c r="E13" s="111">
        <f>IF(C10=1928,100,VLOOKUP(C10-1,A19:H110,7))</f>
        <v>453.46389244561374</v>
      </c>
      <c r="T13" s="220">
        <v>43992</v>
      </c>
      <c r="U13" s="220"/>
      <c r="V13" s="221">
        <v>355</v>
      </c>
      <c r="W13" s="221"/>
    </row>
    <row r="14" spans="1:23">
      <c r="A14" s="96" t="s">
        <v>295</v>
      </c>
      <c r="E14" s="111">
        <f>IF(C10=1928,100,VLOOKUP(C10-1,A18:H110,8))</f>
        <v>448.16699336164055</v>
      </c>
      <c r="T14" s="220">
        <v>43991</v>
      </c>
      <c r="U14" s="220"/>
      <c r="V14" s="221">
        <v>344</v>
      </c>
      <c r="W14" s="221"/>
    </row>
    <row r="15" spans="1:23" ht="16.5" thickBot="1">
      <c r="A15" s="96" t="s">
        <v>296</v>
      </c>
      <c r="E15" s="112">
        <f>IF(C9="ST",(F109/E12)^(1/(A109-C10+1))-(G109/E13)^(1/(A109-C10+1)),(F109/E12)^(1/(A109-C10+1))-(H109/E14)^(1/(A109-C10+1)))</f>
        <v>3.1168000485461089E-2</v>
      </c>
      <c r="T15" s="220">
        <v>43990</v>
      </c>
      <c r="U15" s="220"/>
      <c r="V15" s="221">
        <v>332</v>
      </c>
      <c r="W15" s="221"/>
    </row>
    <row r="16" spans="1:23" ht="16.5" thickBot="1">
      <c r="T16" s="220">
        <v>43987</v>
      </c>
      <c r="U16" s="220"/>
      <c r="V16" s="221">
        <v>334</v>
      </c>
      <c r="W16" s="221"/>
    </row>
    <row r="17" spans="1:23" ht="16.5" thickBot="1">
      <c r="B17" s="222" t="s">
        <v>297</v>
      </c>
      <c r="C17" s="223"/>
      <c r="D17" s="223"/>
      <c r="E17" s="223"/>
      <c r="F17" s="222" t="s">
        <v>298</v>
      </c>
      <c r="G17" s="223"/>
      <c r="H17" s="223"/>
      <c r="I17" s="225"/>
      <c r="J17" s="222" t="s">
        <v>299</v>
      </c>
      <c r="K17" s="223"/>
      <c r="L17" s="223"/>
      <c r="M17" s="225"/>
      <c r="N17" s="113"/>
      <c r="O17" s="222" t="s">
        <v>300</v>
      </c>
      <c r="P17" s="223"/>
      <c r="Q17" s="223"/>
      <c r="R17" s="225"/>
      <c r="S17" s="114"/>
      <c r="T17" s="220">
        <v>43986</v>
      </c>
      <c r="U17" s="220"/>
      <c r="V17" s="221">
        <v>348</v>
      </c>
      <c r="W17" s="221"/>
    </row>
    <row r="18" spans="1:23" s="118" customFormat="1" ht="47.25">
      <c r="A18" s="115" t="s">
        <v>301</v>
      </c>
      <c r="B18" s="115" t="s">
        <v>302</v>
      </c>
      <c r="C18" s="115" t="s">
        <v>303</v>
      </c>
      <c r="D18" s="115" t="s">
        <v>304</v>
      </c>
      <c r="E18" s="115" t="s">
        <v>305</v>
      </c>
      <c r="F18" s="115" t="s">
        <v>306</v>
      </c>
      <c r="G18" s="115" t="s">
        <v>307</v>
      </c>
      <c r="H18" s="115" t="s">
        <v>308</v>
      </c>
      <c r="I18" s="115" t="s">
        <v>309</v>
      </c>
      <c r="J18" s="116" t="s">
        <v>310</v>
      </c>
      <c r="K18" s="116" t="s">
        <v>311</v>
      </c>
      <c r="L18" s="117" t="s">
        <v>312</v>
      </c>
      <c r="M18" s="117" t="s">
        <v>313</v>
      </c>
      <c r="N18" s="116" t="s">
        <v>314</v>
      </c>
      <c r="O18" s="116" t="s">
        <v>315</v>
      </c>
      <c r="P18" s="116" t="s">
        <v>316</v>
      </c>
      <c r="Q18" s="116" t="s">
        <v>317</v>
      </c>
      <c r="R18" s="116" t="s">
        <v>318</v>
      </c>
      <c r="T18" s="220">
        <v>43985</v>
      </c>
      <c r="U18" s="220"/>
      <c r="V18" s="221">
        <v>351</v>
      </c>
      <c r="W18" s="221"/>
    </row>
    <row r="19" spans="1:23">
      <c r="A19" s="119">
        <v>1928</v>
      </c>
      <c r="B19" s="120">
        <v>0.43811155152887893</v>
      </c>
      <c r="C19" s="120">
        <v>3.0800000000000001E-2</v>
      </c>
      <c r="D19" s="120">
        <v>8.354708589799302E-3</v>
      </c>
      <c r="E19" s="120">
        <v>3.2195514702324381E-2</v>
      </c>
      <c r="F19" s="121">
        <v>143.81115515288789</v>
      </c>
      <c r="G19" s="121">
        <v>103.08</v>
      </c>
      <c r="H19" s="121">
        <v>100.83547085897993</v>
      </c>
      <c r="I19" s="121">
        <v>103.21955147023243</v>
      </c>
      <c r="J19" s="120">
        <v>0.40731155152887893</v>
      </c>
      <c r="K19" s="120">
        <v>0.42975684293907962</v>
      </c>
      <c r="L19" s="122">
        <v>0.40591603682655453</v>
      </c>
      <c r="M19" s="123"/>
      <c r="N19" s="23">
        <v>-1.15218E-2</v>
      </c>
      <c r="O19" s="124">
        <v>0.45487432249783444</v>
      </c>
      <c r="P19" s="124">
        <v>4.2815107100996119E-2</v>
      </c>
      <c r="Q19" s="124">
        <v>2.0108191146551713E-2</v>
      </c>
      <c r="R19" s="124">
        <v>4.4226888061187797E-2</v>
      </c>
      <c r="T19" s="220">
        <v>43984</v>
      </c>
      <c r="U19" s="220"/>
      <c r="V19" s="221">
        <v>375</v>
      </c>
      <c r="W19" s="221"/>
    </row>
    <row r="20" spans="1:23">
      <c r="A20" s="119">
        <v>1929</v>
      </c>
      <c r="B20" s="120">
        <v>-8.2979466119096595E-2</v>
      </c>
      <c r="C20" s="120">
        <v>3.1600000000000003E-2</v>
      </c>
      <c r="D20" s="120">
        <v>4.2038041563204259E-2</v>
      </c>
      <c r="E20" s="120">
        <v>3.0178562399040432E-2</v>
      </c>
      <c r="F20" s="121">
        <v>131.87778227633069</v>
      </c>
      <c r="G20" s="121">
        <v>106.337328</v>
      </c>
      <c r="H20" s="121">
        <v>105.074396573995</v>
      </c>
      <c r="I20" s="121">
        <v>106.33456914507781</v>
      </c>
      <c r="J20" s="120">
        <v>-0.1145794661190966</v>
      </c>
      <c r="K20" s="120">
        <v>-0.12501750768230085</v>
      </c>
      <c r="L20" s="122">
        <v>-0.11315802851813703</v>
      </c>
      <c r="M20" s="123"/>
      <c r="N20" s="23">
        <v>0</v>
      </c>
      <c r="O20" s="125">
        <v>-8.2979466119096568E-2</v>
      </c>
      <c r="P20" s="125">
        <v>3.1600000000000072E-2</v>
      </c>
      <c r="Q20" s="125">
        <v>4.2038041563204231E-2</v>
      </c>
      <c r="R20" s="125">
        <v>3.0178562399040487E-2</v>
      </c>
      <c r="T20" s="220">
        <v>43983</v>
      </c>
      <c r="U20" s="220"/>
      <c r="V20" s="221">
        <v>386</v>
      </c>
      <c r="W20" s="221"/>
    </row>
    <row r="21" spans="1:23">
      <c r="A21" s="119">
        <v>1930</v>
      </c>
      <c r="B21" s="120">
        <v>-0.25123636363636365</v>
      </c>
      <c r="C21" s="120">
        <v>4.5499999999999999E-2</v>
      </c>
      <c r="D21" s="120">
        <v>4.5409314348970366E-2</v>
      </c>
      <c r="E21" s="120">
        <v>5.3978094648238287E-3</v>
      </c>
      <c r="F21" s="121">
        <v>98.745287812797272</v>
      </c>
      <c r="G21" s="121">
        <v>111.17567642400002</v>
      </c>
      <c r="H21" s="121">
        <v>109.84575287805193</v>
      </c>
      <c r="I21" s="121">
        <v>106.90854288884708</v>
      </c>
      <c r="J21" s="120">
        <v>-0.29673636363636363</v>
      </c>
      <c r="K21" s="120">
        <v>-0.29664567798533403</v>
      </c>
      <c r="L21" s="122">
        <v>-0.25663417310118747</v>
      </c>
      <c r="M21" s="123"/>
      <c r="N21" s="23">
        <v>-2.6712E-2</v>
      </c>
      <c r="O21" s="125">
        <v>-0.23068646036565099</v>
      </c>
      <c r="P21" s="125">
        <v>7.4193866563648125E-2</v>
      </c>
      <c r="Q21" s="125">
        <v>7.410069203459857E-2</v>
      </c>
      <c r="R21" s="125">
        <v>3.2991066842315897E-2</v>
      </c>
      <c r="T21" s="220">
        <v>43980</v>
      </c>
      <c r="U21" s="220"/>
      <c r="V21" s="221">
        <v>392</v>
      </c>
      <c r="W21" s="221"/>
    </row>
    <row r="22" spans="1:23">
      <c r="A22" s="119">
        <v>1931</v>
      </c>
      <c r="B22" s="120">
        <v>-0.43837548891786188</v>
      </c>
      <c r="C22" s="120">
        <v>2.3099999999999999E-2</v>
      </c>
      <c r="D22" s="120">
        <v>-2.5588559619422531E-2</v>
      </c>
      <c r="E22" s="120">
        <v>-0.15680775082667592</v>
      </c>
      <c r="F22" s="121">
        <v>55.457773989527276</v>
      </c>
      <c r="G22" s="121">
        <v>113.74383454939441</v>
      </c>
      <c r="H22" s="121">
        <v>107.03495828159154</v>
      </c>
      <c r="I22" s="121">
        <v>90.144454734289752</v>
      </c>
      <c r="J22" s="120">
        <v>-0.46147548891786189</v>
      </c>
      <c r="K22" s="120">
        <v>-0.41278692929843935</v>
      </c>
      <c r="L22" s="122">
        <v>-0.28156773809118596</v>
      </c>
      <c r="M22" s="123"/>
      <c r="N22" s="23">
        <v>-8.9321400000000009E-2</v>
      </c>
      <c r="O22" s="125">
        <v>-0.38329009698686445</v>
      </c>
      <c r="P22" s="125">
        <v>0.12344794310528417</v>
      </c>
      <c r="Q22" s="125">
        <v>6.9983900336054283E-2</v>
      </c>
      <c r="R22" s="125">
        <v>-7.4105563506901229E-2</v>
      </c>
      <c r="T22" s="220">
        <v>43979</v>
      </c>
      <c r="U22" s="220"/>
      <c r="V22" s="221">
        <v>379</v>
      </c>
      <c r="W22" s="221"/>
    </row>
    <row r="23" spans="1:23">
      <c r="A23" s="119">
        <v>1932</v>
      </c>
      <c r="B23" s="120">
        <v>-8.642364532019696E-2</v>
      </c>
      <c r="C23" s="120">
        <v>1.0699999999999999E-2</v>
      </c>
      <c r="D23" s="120">
        <v>8.7903069904773257E-2</v>
      </c>
      <c r="E23" s="120">
        <v>0.23589601675740196</v>
      </c>
      <c r="F23" s="121">
        <v>50.664911000008722</v>
      </c>
      <c r="G23" s="121">
        <v>114.96089357907292</v>
      </c>
      <c r="H23" s="121">
        <v>116.44365970167279</v>
      </c>
      <c r="I23" s="121">
        <v>111.40917253887663</v>
      </c>
      <c r="J23" s="120">
        <v>-9.7123645320196961E-2</v>
      </c>
      <c r="K23" s="120">
        <v>-0.17432671522497023</v>
      </c>
      <c r="L23" s="122">
        <v>-0.32231966207759893</v>
      </c>
      <c r="M23" s="123"/>
      <c r="N23" s="23">
        <v>-0.1030137</v>
      </c>
      <c r="O23" s="125">
        <v>1.8495326717702376E-2</v>
      </c>
      <c r="P23" s="125">
        <v>0.12677306219727091</v>
      </c>
      <c r="Q23" s="125">
        <v>0.21284245913764055</v>
      </c>
      <c r="R23" s="125">
        <v>0.37783154186123236</v>
      </c>
      <c r="T23" s="220">
        <v>43978</v>
      </c>
      <c r="U23" s="220"/>
      <c r="V23" s="221">
        <v>384</v>
      </c>
      <c r="W23" s="221"/>
    </row>
    <row r="24" spans="1:23">
      <c r="A24" s="119">
        <v>1933</v>
      </c>
      <c r="B24" s="120">
        <v>0.49982225433526023</v>
      </c>
      <c r="C24" s="120">
        <v>9.5999999999999992E-3</v>
      </c>
      <c r="D24" s="120">
        <v>1.8552720891857361E-2</v>
      </c>
      <c r="E24" s="120">
        <v>0.1296689369754826</v>
      </c>
      <c r="F24" s="121">
        <v>75.988361031728402</v>
      </c>
      <c r="G24" s="121">
        <v>116.06451815743202</v>
      </c>
      <c r="H24" s="121">
        <v>118.60400641974435</v>
      </c>
      <c r="I24" s="121">
        <v>125.8554815113109</v>
      </c>
      <c r="J24" s="120">
        <v>0.49022225433526023</v>
      </c>
      <c r="K24" s="120">
        <v>0.48126953344340284</v>
      </c>
      <c r="L24" s="122">
        <v>0.37015331735977763</v>
      </c>
      <c r="M24" s="123"/>
      <c r="N24" s="23">
        <v>-5.19243E-2</v>
      </c>
      <c r="O24" s="125">
        <v>0.58196466203622799</v>
      </c>
      <c r="P24" s="125">
        <v>6.4893868706897617E-2</v>
      </c>
      <c r="Q24" s="125">
        <v>7.4336913067023502E-2</v>
      </c>
      <c r="R24" s="125">
        <v>0.19153875262859565</v>
      </c>
      <c r="T24" s="220">
        <v>43977</v>
      </c>
      <c r="U24" s="220"/>
      <c r="V24" s="221">
        <v>387</v>
      </c>
      <c r="W24" s="221"/>
    </row>
    <row r="25" spans="1:23">
      <c r="A25" s="119">
        <v>1934</v>
      </c>
      <c r="B25" s="120">
        <v>-1.1885656970912803E-2</v>
      </c>
      <c r="C25" s="120">
        <v>2.7833333333333334E-3</v>
      </c>
      <c r="D25" s="120">
        <v>7.9634426179656104E-2</v>
      </c>
      <c r="E25" s="120">
        <v>0.18816429268482648</v>
      </c>
      <c r="F25" s="121">
        <v>75.085189438723404</v>
      </c>
      <c r="G25" s="121">
        <v>116.38756439963687</v>
      </c>
      <c r="H25" s="121">
        <v>128.04896841358894</v>
      </c>
      <c r="I25" s="121">
        <v>149.53698917039497</v>
      </c>
      <c r="J25" s="120">
        <v>-1.4668990304246137E-2</v>
      </c>
      <c r="K25" s="120">
        <v>-9.1520083150568907E-2</v>
      </c>
      <c r="L25" s="122">
        <v>-0.2000499496557393</v>
      </c>
      <c r="M25" s="123"/>
      <c r="N25" s="23">
        <v>3.47938E-2</v>
      </c>
      <c r="O25" s="125">
        <v>-4.5109911724357965E-2</v>
      </c>
      <c r="P25" s="125">
        <v>-3.0934150037105645E-2</v>
      </c>
      <c r="Q25" s="125">
        <v>4.3332909589964608E-2</v>
      </c>
      <c r="R25" s="125">
        <v>0.14821357905780497</v>
      </c>
      <c r="T25" s="220">
        <v>43976</v>
      </c>
      <c r="U25" s="220"/>
      <c r="V25" s="221">
        <v>405</v>
      </c>
      <c r="W25" s="221"/>
    </row>
    <row r="26" spans="1:23">
      <c r="A26" s="119">
        <v>1935</v>
      </c>
      <c r="B26" s="120">
        <v>0.46740421052631581</v>
      </c>
      <c r="C26" s="120">
        <v>1.6750000000000001E-3</v>
      </c>
      <c r="D26" s="120">
        <v>4.4720477296566127E-2</v>
      </c>
      <c r="E26" s="120">
        <v>0.1330773186567917</v>
      </c>
      <c r="F26" s="121">
        <v>110.18032313054879</v>
      </c>
      <c r="G26" s="121">
        <v>116.58251357000627</v>
      </c>
      <c r="H26" s="121">
        <v>133.77537939837757</v>
      </c>
      <c r="I26" s="121">
        <v>169.43697072920085</v>
      </c>
      <c r="J26" s="120">
        <v>0.46572921052631583</v>
      </c>
      <c r="K26" s="120">
        <v>0.42268373322974967</v>
      </c>
      <c r="L26" s="122">
        <v>0.33432689186952413</v>
      </c>
      <c r="M26" s="123"/>
      <c r="N26" s="23">
        <v>2.5529299999999998E-2</v>
      </c>
      <c r="O26" s="125">
        <v>0.43087497405126873</v>
      </c>
      <c r="P26" s="125">
        <v>-2.326047632183692E-2</v>
      </c>
      <c r="Q26" s="125">
        <v>1.8713436365558778E-2</v>
      </c>
      <c r="R26" s="125">
        <v>0.10487074202247726</v>
      </c>
      <c r="T26" s="220">
        <v>43973</v>
      </c>
      <c r="U26" s="220"/>
      <c r="V26" s="221">
        <v>405</v>
      </c>
      <c r="W26" s="221"/>
    </row>
    <row r="27" spans="1:23">
      <c r="A27" s="119">
        <v>1936</v>
      </c>
      <c r="B27" s="120">
        <v>0.31943410275502609</v>
      </c>
      <c r="C27" s="120">
        <v>1.725E-3</v>
      </c>
      <c r="D27" s="120">
        <v>5.0178754045450601E-2</v>
      </c>
      <c r="E27" s="120">
        <v>0.11383815871922703</v>
      </c>
      <c r="F27" s="121">
        <v>145.37567579101449</v>
      </c>
      <c r="G27" s="121">
        <v>116.78361840591452</v>
      </c>
      <c r="H27" s="121">
        <v>140.4880612585456</v>
      </c>
      <c r="I27" s="121">
        <v>188.72536349597664</v>
      </c>
      <c r="J27" s="120">
        <v>0.31770910275502612</v>
      </c>
      <c r="K27" s="120">
        <v>0.26925534870957551</v>
      </c>
      <c r="L27" s="122">
        <v>0.20559594403579906</v>
      </c>
      <c r="M27" s="123"/>
      <c r="N27" s="23">
        <v>1.0321800000000001E-2</v>
      </c>
      <c r="O27" s="125">
        <v>0.30595430362388099</v>
      </c>
      <c r="P27" s="125">
        <v>-8.5089720918622991E-3</v>
      </c>
      <c r="Q27" s="125">
        <v>3.9449761497228453E-2</v>
      </c>
      <c r="R27" s="125">
        <v>0.10245879948272618</v>
      </c>
      <c r="T27" s="220">
        <v>43972</v>
      </c>
      <c r="U27" s="220"/>
      <c r="V27" s="221">
        <v>405</v>
      </c>
      <c r="W27" s="221"/>
    </row>
    <row r="28" spans="1:23">
      <c r="A28" s="119">
        <v>1937</v>
      </c>
      <c r="B28" s="120">
        <v>-0.35336728754365537</v>
      </c>
      <c r="C28" s="120">
        <v>2.7583333333333331E-3</v>
      </c>
      <c r="D28" s="120">
        <v>1.379146059646038E-2</v>
      </c>
      <c r="E28" s="120">
        <v>-4.4161916839982614E-2</v>
      </c>
      <c r="F28" s="121">
        <v>94.004667561917856</v>
      </c>
      <c r="G28" s="121">
        <v>117.10574655335085</v>
      </c>
      <c r="H28" s="121">
        <v>142.42559681966594</v>
      </c>
      <c r="I28" s="121">
        <v>180.39088968767183</v>
      </c>
      <c r="J28" s="120">
        <v>-0.35612562087698868</v>
      </c>
      <c r="K28" s="120">
        <v>-0.36715874814011573</v>
      </c>
      <c r="L28" s="122">
        <v>-0.30920537070367277</v>
      </c>
      <c r="M28" s="123"/>
      <c r="N28" s="23">
        <v>3.7259600000000004E-2</v>
      </c>
      <c r="O28" s="125">
        <v>-0.37659510458486511</v>
      </c>
      <c r="P28" s="125">
        <v>-3.326194008391592E-2</v>
      </c>
      <c r="Q28" s="125">
        <v>-2.2625135890320669E-2</v>
      </c>
      <c r="R28" s="125">
        <v>-7.8496758998405691E-2</v>
      </c>
      <c r="T28" s="220">
        <v>43971</v>
      </c>
      <c r="U28" s="220"/>
      <c r="V28" s="221">
        <v>420</v>
      </c>
      <c r="W28" s="221"/>
    </row>
    <row r="29" spans="1:23">
      <c r="A29" s="119">
        <v>1938</v>
      </c>
      <c r="B29" s="120">
        <v>0.29282654028436017</v>
      </c>
      <c r="C29" s="120">
        <v>6.4999999999999997E-4</v>
      </c>
      <c r="D29" s="120">
        <v>4.2132485322046068E-2</v>
      </c>
      <c r="E29" s="120">
        <v>9.2358817136874202E-2</v>
      </c>
      <c r="F29" s="121">
        <v>121.53172913465568</v>
      </c>
      <c r="G29" s="121">
        <v>117.18186528861054</v>
      </c>
      <c r="H29" s="121">
        <v>148.42634118715418</v>
      </c>
      <c r="I29" s="121">
        <v>197.05157888149355</v>
      </c>
      <c r="J29" s="120">
        <v>0.29217654028436019</v>
      </c>
      <c r="K29" s="120">
        <v>0.25069405496231412</v>
      </c>
      <c r="L29" s="122">
        <v>0.20046772314748595</v>
      </c>
      <c r="M29" s="123"/>
      <c r="N29" s="23">
        <v>-2.02781E-2</v>
      </c>
      <c r="O29" s="125">
        <v>0.3195852213616539</v>
      </c>
      <c r="P29" s="125">
        <v>2.1361265885758041E-2</v>
      </c>
      <c r="Q29" s="125">
        <v>6.3702347903059175E-2</v>
      </c>
      <c r="R29" s="125">
        <v>0.11496825490669749</v>
      </c>
      <c r="T29" s="220">
        <v>43970</v>
      </c>
      <c r="U29" s="220"/>
      <c r="V29" s="221">
        <v>429</v>
      </c>
      <c r="W29" s="221"/>
    </row>
    <row r="30" spans="1:23">
      <c r="A30" s="119">
        <v>1939</v>
      </c>
      <c r="B30" s="120">
        <v>-1.0975646879756443E-2</v>
      </c>
      <c r="C30" s="120">
        <v>4.5833333333333332E-4</v>
      </c>
      <c r="D30" s="120">
        <v>4.4122613942060671E-2</v>
      </c>
      <c r="E30" s="120">
        <v>7.9831377653461405E-2</v>
      </c>
      <c r="F30" s="121">
        <v>120.19783979098749</v>
      </c>
      <c r="G30" s="121">
        <v>117.23557364353447</v>
      </c>
      <c r="H30" s="121">
        <v>154.97529933818757</v>
      </c>
      <c r="I30" s="121">
        <v>212.7824778923929</v>
      </c>
      <c r="J30" s="120">
        <v>-1.1433980213089777E-2</v>
      </c>
      <c r="K30" s="120">
        <v>-5.509826082181711E-2</v>
      </c>
      <c r="L30" s="122">
        <v>-9.0807024533217845E-2</v>
      </c>
      <c r="M30" s="123"/>
      <c r="N30" s="23">
        <v>-1.30101E-2</v>
      </c>
      <c r="O30" s="125">
        <v>2.0612704549900496E-3</v>
      </c>
      <c r="P30" s="125">
        <v>1.3645968751385684E-2</v>
      </c>
      <c r="Q30" s="125">
        <v>5.7885814173033401E-2</v>
      </c>
      <c r="R30" s="125">
        <v>9.4065276304713397E-2</v>
      </c>
      <c r="T30" s="220">
        <v>43969</v>
      </c>
      <c r="U30" s="220"/>
      <c r="V30" s="221">
        <v>427</v>
      </c>
      <c r="W30" s="221"/>
    </row>
    <row r="31" spans="1:23">
      <c r="A31" s="119">
        <v>1940</v>
      </c>
      <c r="B31" s="120">
        <v>-0.10672873194221515</v>
      </c>
      <c r="C31" s="120">
        <v>3.5833333333333333E-4</v>
      </c>
      <c r="D31" s="120">
        <v>5.4024815962845509E-2</v>
      </c>
      <c r="E31" s="120">
        <v>8.6481371775829569E-2</v>
      </c>
      <c r="F31" s="121">
        <v>107.36927676790187</v>
      </c>
      <c r="G31" s="121">
        <v>117.27758305742339</v>
      </c>
      <c r="H31" s="121">
        <v>163.34781136372007</v>
      </c>
      <c r="I31" s="121">
        <v>231.18419847038714</v>
      </c>
      <c r="J31" s="120">
        <v>-0.10708706527554848</v>
      </c>
      <c r="K31" s="120">
        <v>-0.16075354790506066</v>
      </c>
      <c r="L31" s="122">
        <v>-0.1932101037180447</v>
      </c>
      <c r="M31" s="123"/>
      <c r="N31" s="23">
        <v>7.1898999999999999E-3</v>
      </c>
      <c r="O31" s="125">
        <v>-0.11310541531662999</v>
      </c>
      <c r="P31" s="125">
        <v>-6.7827990199929022E-3</v>
      </c>
      <c r="Q31" s="125">
        <v>4.6500581432404875E-2</v>
      </c>
      <c r="R31" s="125">
        <v>7.872544370811263E-2</v>
      </c>
      <c r="T31" s="220">
        <v>43966</v>
      </c>
      <c r="U31" s="220"/>
      <c r="V31" s="221">
        <v>451</v>
      </c>
      <c r="W31" s="221"/>
    </row>
    <row r="32" spans="1:23">
      <c r="A32" s="119">
        <v>1941</v>
      </c>
      <c r="B32" s="120">
        <v>-0.12771455576559551</v>
      </c>
      <c r="C32" s="120">
        <v>1.2916666666666669E-3</v>
      </c>
      <c r="D32" s="120">
        <v>-2.0221975848580105E-2</v>
      </c>
      <c r="E32" s="120">
        <v>5.0071728572759232E-2</v>
      </c>
      <c r="F32" s="121">
        <v>93.656657282615996</v>
      </c>
      <c r="G32" s="121">
        <v>117.42906660220589</v>
      </c>
      <c r="H32" s="121">
        <v>160.0445958674045</v>
      </c>
      <c r="I32" s="121">
        <v>242.75999090650726</v>
      </c>
      <c r="J32" s="120">
        <v>-0.12900622243226217</v>
      </c>
      <c r="K32" s="120">
        <v>-0.10749257991701541</v>
      </c>
      <c r="L32" s="122">
        <v>-0.17778628433835475</v>
      </c>
      <c r="M32" s="123"/>
      <c r="N32" s="23">
        <v>5.1159999999999997E-2</v>
      </c>
      <c r="O32" s="125">
        <v>-0.17016872385326265</v>
      </c>
      <c r="P32" s="125">
        <v>-4.7441239519515066E-2</v>
      </c>
      <c r="Q32" s="125">
        <v>-6.7907812177575466E-2</v>
      </c>
      <c r="R32" s="125">
        <v>-1.0353052125660067E-3</v>
      </c>
      <c r="T32" s="220">
        <v>43965</v>
      </c>
      <c r="U32" s="220"/>
      <c r="V32" s="221">
        <v>450</v>
      </c>
      <c r="W32" s="221"/>
    </row>
    <row r="33" spans="1:23">
      <c r="A33" s="119">
        <v>1942</v>
      </c>
      <c r="B33" s="120">
        <v>0.19173762945914843</v>
      </c>
      <c r="C33" s="120">
        <v>3.4250000000000001E-3</v>
      </c>
      <c r="D33" s="120">
        <v>2.2948682374484164E-2</v>
      </c>
      <c r="E33" s="120">
        <v>5.1799010426587015E-2</v>
      </c>
      <c r="F33" s="121">
        <v>111.61416273305268</v>
      </c>
      <c r="G33" s="121">
        <v>117.83126115531844</v>
      </c>
      <c r="H33" s="121">
        <v>163.71740846371824</v>
      </c>
      <c r="I33" s="121">
        <v>255.33471820663161</v>
      </c>
      <c r="J33" s="120">
        <v>0.18831262945914842</v>
      </c>
      <c r="K33" s="120">
        <v>0.16878894708466427</v>
      </c>
      <c r="L33" s="122">
        <v>0.13993861903256141</v>
      </c>
      <c r="M33" s="123"/>
      <c r="N33" s="23">
        <v>0.10922470000000001</v>
      </c>
      <c r="O33" s="125">
        <v>7.438793010933531E-2</v>
      </c>
      <c r="P33" s="125">
        <v>-9.5381666131307719E-2</v>
      </c>
      <c r="Q33" s="125">
        <v>-7.7780469210175118E-2</v>
      </c>
      <c r="R33" s="125">
        <v>-5.1771015893725458E-2</v>
      </c>
      <c r="T33" s="220">
        <v>43964</v>
      </c>
      <c r="U33" s="220"/>
      <c r="V33" s="221">
        <v>438</v>
      </c>
      <c r="W33" s="221"/>
    </row>
    <row r="34" spans="1:23">
      <c r="A34" s="119">
        <v>1943</v>
      </c>
      <c r="B34" s="120">
        <v>0.25061310133060394</v>
      </c>
      <c r="C34" s="120">
        <v>3.8E-3</v>
      </c>
      <c r="D34" s="120">
        <v>2.4899999999999999E-2</v>
      </c>
      <c r="E34" s="120">
        <v>8.044670060105924E-2</v>
      </c>
      <c r="F34" s="121">
        <v>139.58613420800171</v>
      </c>
      <c r="G34" s="121">
        <v>118.27901994770866</v>
      </c>
      <c r="H34" s="121">
        <v>167.79397193446482</v>
      </c>
      <c r="I34" s="121">
        <v>275.87555383525631</v>
      </c>
      <c r="J34" s="120">
        <v>0.24681310133060394</v>
      </c>
      <c r="K34" s="120">
        <v>0.22571310133060393</v>
      </c>
      <c r="L34" s="122">
        <v>0.1701664007295447</v>
      </c>
      <c r="M34" s="123"/>
      <c r="N34" s="23">
        <v>5.9693899999999994E-2</v>
      </c>
      <c r="O34" s="125">
        <v>0.1801644808284768</v>
      </c>
      <c r="P34" s="125">
        <v>-5.2745325796439979E-2</v>
      </c>
      <c r="Q34" s="125">
        <v>-3.283391552975834E-2</v>
      </c>
      <c r="R34" s="125">
        <v>1.9583769049778432E-2</v>
      </c>
      <c r="T34" s="220">
        <v>43963</v>
      </c>
      <c r="U34" s="220"/>
      <c r="V34" s="221">
        <v>420</v>
      </c>
      <c r="W34" s="221"/>
    </row>
    <row r="35" spans="1:23">
      <c r="A35" s="119">
        <v>1944</v>
      </c>
      <c r="B35" s="120">
        <v>0.19030676949443009</v>
      </c>
      <c r="C35" s="120">
        <v>3.8E-3</v>
      </c>
      <c r="D35" s="120">
        <v>2.5776111579070303E-2</v>
      </c>
      <c r="E35" s="120">
        <v>6.5658635882561697E-2</v>
      </c>
      <c r="F35" s="121">
        <v>166.15032047534245</v>
      </c>
      <c r="G35" s="121">
        <v>118.72848022350996</v>
      </c>
      <c r="H35" s="121">
        <v>172.11904807734297</v>
      </c>
      <c r="I35" s="121">
        <v>293.98916637342546</v>
      </c>
      <c r="J35" s="120">
        <v>0.1865067694944301</v>
      </c>
      <c r="K35" s="120">
        <v>0.16453065791535978</v>
      </c>
      <c r="L35" s="122">
        <v>0.1246481336118684</v>
      </c>
      <c r="M35" s="123"/>
      <c r="N35" s="23">
        <v>1.63698E-2</v>
      </c>
      <c r="O35" s="125">
        <v>0.17113551533549098</v>
      </c>
      <c r="P35" s="125">
        <v>-1.2367348970817593E-2</v>
      </c>
      <c r="Q35" s="125">
        <v>9.2548121550544149E-3</v>
      </c>
      <c r="R35" s="125">
        <v>4.8494982714521351E-2</v>
      </c>
      <c r="T35" s="220">
        <v>43962</v>
      </c>
      <c r="U35" s="220"/>
      <c r="V35" s="221">
        <v>414</v>
      </c>
      <c r="W35" s="221"/>
    </row>
    <row r="36" spans="1:23">
      <c r="A36" s="119">
        <v>1945</v>
      </c>
      <c r="B36" s="120">
        <v>0.35821084337349401</v>
      </c>
      <c r="C36" s="120">
        <v>3.8E-3</v>
      </c>
      <c r="D36" s="120">
        <v>3.8044173419237229E-2</v>
      </c>
      <c r="E36" s="120">
        <v>6.799865477817886E-2</v>
      </c>
      <c r="F36" s="121">
        <v>225.66716689959119</v>
      </c>
      <c r="G36" s="121">
        <v>119.1796484483593</v>
      </c>
      <c r="H36" s="121">
        <v>178.66717499115143</v>
      </c>
      <c r="I36" s="121">
        <v>313.98003420617658</v>
      </c>
      <c r="J36" s="120">
        <v>0.35441084337349399</v>
      </c>
      <c r="K36" s="120">
        <v>0.3201666699542568</v>
      </c>
      <c r="L36" s="122">
        <v>0.29021218859531517</v>
      </c>
      <c r="M36" s="123"/>
      <c r="N36" s="23">
        <v>2.2738000000000001E-2</v>
      </c>
      <c r="O36" s="125">
        <v>0.32801445079139935</v>
      </c>
      <c r="P36" s="125">
        <v>-1.8516961333205462E-2</v>
      </c>
      <c r="Q36" s="125">
        <v>1.4965879256698456E-2</v>
      </c>
      <c r="R36" s="125">
        <v>4.4254398270308526E-2</v>
      </c>
      <c r="T36" s="220">
        <v>43959</v>
      </c>
      <c r="U36" s="220"/>
      <c r="V36" s="221">
        <v>419</v>
      </c>
      <c r="W36" s="221"/>
    </row>
    <row r="37" spans="1:23">
      <c r="A37" s="119">
        <v>1946</v>
      </c>
      <c r="B37" s="120">
        <v>-8.4291474654377807E-2</v>
      </c>
      <c r="C37" s="120">
        <v>3.8E-3</v>
      </c>
      <c r="D37" s="120">
        <v>3.1283745375695685E-2</v>
      </c>
      <c r="E37" s="120">
        <v>2.5080329773195936E-2</v>
      </c>
      <c r="F37" s="121">
        <v>206.64534862054904</v>
      </c>
      <c r="G37" s="121">
        <v>119.63253111246307</v>
      </c>
      <c r="H37" s="121">
        <v>184.25655340056949</v>
      </c>
      <c r="I37" s="121">
        <v>321.85475700626682</v>
      </c>
      <c r="J37" s="120">
        <v>-8.8091474654377805E-2</v>
      </c>
      <c r="K37" s="120">
        <v>-0.11557522003007349</v>
      </c>
      <c r="L37" s="122">
        <v>-0.10937180442757374</v>
      </c>
      <c r="M37" s="123"/>
      <c r="N37" s="23">
        <v>8.4761500000000004E-2</v>
      </c>
      <c r="O37" s="125">
        <v>-0.15584345006195166</v>
      </c>
      <c r="P37" s="125">
        <v>-7.4635300017561357E-2</v>
      </c>
      <c r="Q37" s="125">
        <v>-4.9299089822328779E-2</v>
      </c>
      <c r="R37" s="125">
        <v>-5.5017780615189693E-2</v>
      </c>
      <c r="T37" s="220">
        <v>43958</v>
      </c>
      <c r="U37" s="220"/>
      <c r="V37" s="221">
        <v>432</v>
      </c>
      <c r="W37" s="221"/>
    </row>
    <row r="38" spans="1:23">
      <c r="A38" s="119">
        <v>1947</v>
      </c>
      <c r="B38" s="120">
        <v>5.1999999999999998E-2</v>
      </c>
      <c r="C38" s="120">
        <v>6.0083333333333334E-3</v>
      </c>
      <c r="D38" s="120">
        <v>9.1969680628322358E-3</v>
      </c>
      <c r="E38" s="120">
        <v>2.6212022665691934E-3</v>
      </c>
      <c r="F38" s="121">
        <v>217.3909067488176</v>
      </c>
      <c r="G38" s="121">
        <v>120.35132323689713</v>
      </c>
      <c r="H38" s="121">
        <v>185.95115503756207</v>
      </c>
      <c r="I38" s="121">
        <v>322.69840342483775</v>
      </c>
      <c r="J38" s="120">
        <v>4.5991666666666667E-2</v>
      </c>
      <c r="K38" s="120">
        <v>4.2803031937167765E-2</v>
      </c>
      <c r="L38" s="122">
        <v>4.9378797733430804E-2</v>
      </c>
      <c r="M38" s="123"/>
      <c r="N38" s="23">
        <v>0.1438941</v>
      </c>
      <c r="O38" s="125">
        <v>-8.0334447043655555E-2</v>
      </c>
      <c r="P38" s="125">
        <v>-0.12054067475884933</v>
      </c>
      <c r="Q38" s="125">
        <v>-0.11775314859755615</v>
      </c>
      <c r="R38" s="125">
        <v>-0.12350172776783341</v>
      </c>
      <c r="T38" s="220">
        <v>43957</v>
      </c>
      <c r="U38" s="220"/>
      <c r="V38" s="221">
        <v>429</v>
      </c>
      <c r="W38" s="221"/>
    </row>
    <row r="39" spans="1:23">
      <c r="A39" s="119">
        <v>1948</v>
      </c>
      <c r="B39" s="120">
        <v>5.7045751633986834E-2</v>
      </c>
      <c r="C39" s="120">
        <v>1.0449999999999999E-2</v>
      </c>
      <c r="D39" s="120">
        <v>1.9510369413175046E-2</v>
      </c>
      <c r="E39" s="120">
        <v>3.4369595605103213E-2</v>
      </c>
      <c r="F39" s="121">
        <v>229.79213442269784</v>
      </c>
      <c r="G39" s="121">
        <v>121.60899456472271</v>
      </c>
      <c r="H39" s="121">
        <v>189.57913076515149</v>
      </c>
      <c r="I39" s="121">
        <v>333.78941705296182</v>
      </c>
      <c r="J39" s="120">
        <v>4.6595751633986833E-2</v>
      </c>
      <c r="K39" s="120">
        <v>3.7535382220811792E-2</v>
      </c>
      <c r="L39" s="122">
        <v>2.2676156028883621E-2</v>
      </c>
      <c r="M39" s="123"/>
      <c r="N39" s="23">
        <v>7.6894400000000002E-2</v>
      </c>
      <c r="O39" s="125">
        <v>-1.8431378569721546E-2</v>
      </c>
      <c r="P39" s="125">
        <v>-6.1700014411812276E-2</v>
      </c>
      <c r="Q39" s="125">
        <v>-5.3286590204968065E-2</v>
      </c>
      <c r="R39" s="125">
        <v>-3.9488369885568142E-2</v>
      </c>
      <c r="T39" s="220">
        <v>43956</v>
      </c>
      <c r="U39" s="220"/>
      <c r="V39" s="221">
        <v>423</v>
      </c>
      <c r="W39" s="221"/>
    </row>
    <row r="40" spans="1:23">
      <c r="A40" s="119">
        <v>1949</v>
      </c>
      <c r="B40" s="120">
        <v>0.18303223684210526</v>
      </c>
      <c r="C40" s="120">
        <v>1.115E-2</v>
      </c>
      <c r="D40" s="120">
        <v>4.6634851827973139E-2</v>
      </c>
      <c r="E40" s="120">
        <v>5.3773011179658936E-2</v>
      </c>
      <c r="F40" s="121">
        <v>271.85150279480598</v>
      </c>
      <c r="G40" s="121">
        <v>122.96493485411936</v>
      </c>
      <c r="H40" s="121">
        <v>198.42012543806027</v>
      </c>
      <c r="I40" s="121">
        <v>351.73827910780261</v>
      </c>
      <c r="J40" s="120">
        <v>0.17188223684210527</v>
      </c>
      <c r="K40" s="120">
        <v>0.13639738501413212</v>
      </c>
      <c r="L40" s="122">
        <v>0.12925922566244633</v>
      </c>
      <c r="M40" s="123"/>
      <c r="N40" s="23">
        <v>-9.7053999999999994E-3</v>
      </c>
      <c r="O40" s="125">
        <v>0.19462656551101598</v>
      </c>
      <c r="P40" s="125">
        <v>2.1059793721989406E-2</v>
      </c>
      <c r="Q40" s="125">
        <v>5.6892415477145075E-2</v>
      </c>
      <c r="R40" s="125">
        <v>6.4100532487664896E-2</v>
      </c>
      <c r="T40" s="220">
        <v>43955</v>
      </c>
      <c r="U40" s="220"/>
      <c r="V40" s="221">
        <v>426</v>
      </c>
      <c r="W40" s="221"/>
    </row>
    <row r="41" spans="1:23">
      <c r="A41" s="119">
        <v>1950</v>
      </c>
      <c r="B41" s="120">
        <v>0.30805539011316263</v>
      </c>
      <c r="C41" s="120">
        <v>1.2033333333333333E-2</v>
      </c>
      <c r="D41" s="120">
        <v>4.2959574171096103E-3</v>
      </c>
      <c r="E41" s="120">
        <v>4.2388173056720914E-2</v>
      </c>
      <c r="F41" s="121">
        <v>355.59682354110947</v>
      </c>
      <c r="G41" s="121">
        <v>124.4446129035306</v>
      </c>
      <c r="H41" s="121">
        <v>199.2725298476397</v>
      </c>
      <c r="I41" s="121">
        <v>366.64782215329734</v>
      </c>
      <c r="J41" s="120">
        <v>0.29602205677982929</v>
      </c>
      <c r="K41" s="120">
        <v>0.30375943269605304</v>
      </c>
      <c r="L41" s="122">
        <v>0.2656672170564417</v>
      </c>
      <c r="M41" s="123"/>
      <c r="N41" s="23">
        <v>1.0850500000000001E-2</v>
      </c>
      <c r="O41" s="125">
        <v>0.29401468378673457</v>
      </c>
      <c r="P41" s="125">
        <v>1.1701367643714988E-3</v>
      </c>
      <c r="Q41" s="125">
        <v>-6.4841859235272858E-3</v>
      </c>
      <c r="R41" s="125">
        <v>3.1199146715286563E-2</v>
      </c>
      <c r="T41" s="220">
        <v>43952</v>
      </c>
      <c r="U41" s="220"/>
      <c r="V41" s="221">
        <v>422</v>
      </c>
      <c r="W41" s="221"/>
    </row>
    <row r="42" spans="1:23">
      <c r="A42" s="119">
        <v>1951</v>
      </c>
      <c r="B42" s="120">
        <v>0.23678463044542339</v>
      </c>
      <c r="C42" s="120">
        <v>1.5175000000000001E-2</v>
      </c>
      <c r="D42" s="120">
        <v>-2.9531392208319886E-3</v>
      </c>
      <c r="E42" s="120">
        <v>-1.9098091301369691E-3</v>
      </c>
      <c r="F42" s="121">
        <v>439.7966859908575</v>
      </c>
      <c r="G42" s="121">
        <v>126.33305990434167</v>
      </c>
      <c r="H42" s="121">
        <v>198.68405032411223</v>
      </c>
      <c r="I42" s="121">
        <v>365.94759479500414</v>
      </c>
      <c r="J42" s="120">
        <v>0.22160963044542339</v>
      </c>
      <c r="K42" s="120">
        <v>0.23973776966625537</v>
      </c>
      <c r="L42" s="122">
        <v>0.23869443957556036</v>
      </c>
      <c r="M42" s="123"/>
      <c r="N42" s="23">
        <v>7.8601099999999993E-2</v>
      </c>
      <c r="O42" s="125">
        <v>0.14665619240090089</v>
      </c>
      <c r="P42" s="125">
        <v>-5.8804037933949838E-2</v>
      </c>
      <c r="Q42" s="125">
        <v>-7.5611121869643916E-2</v>
      </c>
      <c r="R42" s="125">
        <v>-7.4643822568080886E-2</v>
      </c>
      <c r="T42" s="220">
        <v>43951</v>
      </c>
      <c r="U42" s="220"/>
      <c r="V42" s="221">
        <v>422</v>
      </c>
      <c r="W42" s="221"/>
    </row>
    <row r="43" spans="1:23">
      <c r="A43" s="119">
        <v>1952</v>
      </c>
      <c r="B43" s="120">
        <v>0.18150988641144306</v>
      </c>
      <c r="C43" s="120">
        <v>1.7225000000000001E-2</v>
      </c>
      <c r="D43" s="120">
        <v>2.2679961918305656E-2</v>
      </c>
      <c r="E43" s="120">
        <v>4.4412415047400768E-2</v>
      </c>
      <c r="F43" s="121">
        <v>519.62413250918712</v>
      </c>
      <c r="G43" s="121">
        <v>128.50914686119395</v>
      </c>
      <c r="H43" s="121">
        <v>203.19019701923781</v>
      </c>
      <c r="I43" s="121">
        <v>382.2002112606379</v>
      </c>
      <c r="J43" s="120">
        <v>0.16428488641144307</v>
      </c>
      <c r="K43" s="120">
        <v>0.1588299244931374</v>
      </c>
      <c r="L43" s="122">
        <v>0.13709747136404229</v>
      </c>
      <c r="M43" s="123"/>
      <c r="N43" s="23">
        <v>2.2792900000000001E-2</v>
      </c>
      <c r="O43" s="125">
        <v>0.15517998454178072</v>
      </c>
      <c r="P43" s="125">
        <v>-5.4438195650360344E-3</v>
      </c>
      <c r="Q43" s="125">
        <v>-1.1042126093607774E-4</v>
      </c>
      <c r="R43" s="125">
        <v>2.1137724995354157E-2</v>
      </c>
      <c r="T43" s="220">
        <v>43950</v>
      </c>
      <c r="U43" s="220"/>
      <c r="V43" s="221">
        <v>446</v>
      </c>
      <c r="W43" s="221"/>
    </row>
    <row r="44" spans="1:23">
      <c r="A44" s="119">
        <v>1953</v>
      </c>
      <c r="B44" s="120">
        <v>-1.2082047421904465E-2</v>
      </c>
      <c r="C44" s="120">
        <v>1.8908333333333333E-2</v>
      </c>
      <c r="D44" s="120">
        <v>4.1438402589088513E-2</v>
      </c>
      <c r="E44" s="120">
        <v>1.6201123818443276E-2</v>
      </c>
      <c r="F44" s="121">
        <v>513.34600909864514</v>
      </c>
      <c r="G44" s="121">
        <v>130.93904064642769</v>
      </c>
      <c r="H44" s="121">
        <v>211.61007420547722</v>
      </c>
      <c r="I44" s="121">
        <v>388.39228420670662</v>
      </c>
      <c r="J44" s="120">
        <v>-3.0990380755237797E-2</v>
      </c>
      <c r="K44" s="120">
        <v>-5.3520450010992981E-2</v>
      </c>
      <c r="L44" s="122">
        <v>-2.8283171240347741E-2</v>
      </c>
      <c r="M44" s="123"/>
      <c r="N44" s="23">
        <v>8.1606999999999999E-3</v>
      </c>
      <c r="O44" s="125">
        <v>-2.0078889627322627E-2</v>
      </c>
      <c r="P44" s="125">
        <v>1.0660635088566073E-2</v>
      </c>
      <c r="Q44" s="125">
        <v>3.3008331498231014E-2</v>
      </c>
      <c r="R44" s="125">
        <v>7.9753394656658649E-3</v>
      </c>
      <c r="T44" s="220">
        <v>43949</v>
      </c>
      <c r="U44" s="220"/>
      <c r="V44" s="221">
        <v>470</v>
      </c>
      <c r="W44" s="221"/>
    </row>
    <row r="45" spans="1:23">
      <c r="A45" s="119">
        <v>1954</v>
      </c>
      <c r="B45" s="120">
        <v>0.52563321241434902</v>
      </c>
      <c r="C45" s="120">
        <v>9.3833333333333338E-3</v>
      </c>
      <c r="D45" s="120">
        <v>3.2898034558095555E-2</v>
      </c>
      <c r="E45" s="120">
        <v>6.1579051817707856E-2</v>
      </c>
      <c r="F45" s="121">
        <v>783.17772094125166</v>
      </c>
      <c r="G45" s="121">
        <v>132.16768531116</v>
      </c>
      <c r="H45" s="121">
        <v>218.57162973953018</v>
      </c>
      <c r="I45" s="121">
        <v>412.30911280146938</v>
      </c>
      <c r="J45" s="120">
        <v>0.51624987908101572</v>
      </c>
      <c r="K45" s="120">
        <v>0.49273517785625348</v>
      </c>
      <c r="L45" s="122">
        <v>0.46405416059664117</v>
      </c>
      <c r="M45" s="123"/>
      <c r="N45" s="23">
        <v>3.1132999999999998E-3</v>
      </c>
      <c r="O45" s="125">
        <v>0.52089820004813903</v>
      </c>
      <c r="P45" s="125">
        <v>6.250573423095096E-3</v>
      </c>
      <c r="Q45" s="125">
        <v>2.9692293540615422E-2</v>
      </c>
      <c r="R45" s="125">
        <v>5.82842953210847E-2</v>
      </c>
      <c r="T45" s="220">
        <v>43948</v>
      </c>
      <c r="U45" s="220"/>
      <c r="V45" s="221">
        <v>475</v>
      </c>
      <c r="W45" s="221"/>
    </row>
    <row r="46" spans="1:23">
      <c r="A46" s="119">
        <v>1955</v>
      </c>
      <c r="B46" s="120">
        <v>0.32597331851028349</v>
      </c>
      <c r="C46" s="120">
        <v>1.7250000000000001E-2</v>
      </c>
      <c r="D46" s="120">
        <v>-1.3364391288618781E-2</v>
      </c>
      <c r="E46" s="120">
        <v>2.044690004344954E-2</v>
      </c>
      <c r="F46" s="121">
        <v>1038.4727616197922</v>
      </c>
      <c r="G46" s="121">
        <v>134.44757788277749</v>
      </c>
      <c r="H46" s="121">
        <v>215.65055295509998</v>
      </c>
      <c r="I46" s="121">
        <v>420.73955601792437</v>
      </c>
      <c r="J46" s="120">
        <v>0.30872331851028351</v>
      </c>
      <c r="K46" s="120">
        <v>0.33933770979890227</v>
      </c>
      <c r="L46" s="122">
        <v>0.30552641846683393</v>
      </c>
      <c r="M46" s="123"/>
      <c r="N46" s="23">
        <v>-2.7933000000000003E-3</v>
      </c>
      <c r="O46" s="125">
        <v>0.32968753470096379</v>
      </c>
      <c r="P46" s="125">
        <v>2.0099443776300241E-2</v>
      </c>
      <c r="Q46" s="125">
        <v>-1.0600702230158299E-2</v>
      </c>
      <c r="R46" s="125">
        <v>2.3305298734404234E-2</v>
      </c>
      <c r="T46" s="220">
        <v>43945</v>
      </c>
      <c r="U46" s="220"/>
      <c r="V46" s="221">
        <v>473</v>
      </c>
      <c r="W46" s="221"/>
    </row>
    <row r="47" spans="1:23">
      <c r="A47" s="119">
        <v>1956</v>
      </c>
      <c r="B47" s="120">
        <v>7.4395118733509347E-2</v>
      </c>
      <c r="C47" s="120">
        <v>2.6275E-2</v>
      </c>
      <c r="D47" s="120">
        <v>-2.2557738173154165E-2</v>
      </c>
      <c r="E47" s="120">
        <v>-2.3526541979620903E-2</v>
      </c>
      <c r="F47" s="121">
        <v>1115.7300660220119</v>
      </c>
      <c r="G47" s="121">
        <v>137.98018799164748</v>
      </c>
      <c r="H47" s="121">
        <v>210.78596424464291</v>
      </c>
      <c r="I47" s="121">
        <v>410.84100919078162</v>
      </c>
      <c r="J47" s="120">
        <v>4.8120118733509347E-2</v>
      </c>
      <c r="K47" s="120">
        <v>9.6952856906663512E-2</v>
      </c>
      <c r="L47" s="122">
        <v>9.7921660713130243E-2</v>
      </c>
      <c r="M47" s="123"/>
      <c r="N47" s="23">
        <v>1.52505E-2</v>
      </c>
      <c r="O47" s="125">
        <v>5.8256182817451707E-2</v>
      </c>
      <c r="P47" s="125">
        <v>1.0858896400445017E-2</v>
      </c>
      <c r="Q47" s="125">
        <v>-3.7240304903227606E-2</v>
      </c>
      <c r="R47" s="125">
        <v>-3.8194555904794925E-2</v>
      </c>
      <c r="T47" s="220">
        <v>43944</v>
      </c>
      <c r="U47" s="220"/>
      <c r="V47" s="221">
        <v>442</v>
      </c>
      <c r="W47" s="221"/>
    </row>
    <row r="48" spans="1:23">
      <c r="A48" s="119">
        <v>1957</v>
      </c>
      <c r="B48" s="120">
        <v>-0.1045736018855796</v>
      </c>
      <c r="C48" s="120">
        <v>3.2250000000000001E-2</v>
      </c>
      <c r="D48" s="120">
        <v>6.7970128466249904E-2</v>
      </c>
      <c r="E48" s="120">
        <v>-7.1892844025423647E-3</v>
      </c>
      <c r="F48" s="121">
        <v>999.05415428605454</v>
      </c>
      <c r="G48" s="121">
        <v>142.43004905437809</v>
      </c>
      <c r="H48" s="121">
        <v>225.11311331323367</v>
      </c>
      <c r="I48" s="121">
        <v>407.88735633148156</v>
      </c>
      <c r="J48" s="120">
        <v>-0.1368236018855796</v>
      </c>
      <c r="K48" s="120">
        <v>-0.17254373035182952</v>
      </c>
      <c r="L48" s="122">
        <v>-9.7384317483037233E-2</v>
      </c>
      <c r="M48" s="123"/>
      <c r="N48" s="23">
        <v>3.3415100000000003E-2</v>
      </c>
      <c r="O48" s="125">
        <v>-0.13352688758426279</v>
      </c>
      <c r="P48" s="125">
        <v>-1.1274269168315421E-3</v>
      </c>
      <c r="Q48" s="125">
        <v>3.3437704235451893E-2</v>
      </c>
      <c r="R48" s="125">
        <v>-3.9291456455922136E-2</v>
      </c>
      <c r="T48" s="220">
        <v>43943</v>
      </c>
      <c r="U48" s="220"/>
      <c r="V48" s="221">
        <v>426</v>
      </c>
      <c r="W48" s="221"/>
    </row>
    <row r="49" spans="1:23">
      <c r="A49" s="119">
        <v>1958</v>
      </c>
      <c r="B49" s="120">
        <v>0.43719954988747184</v>
      </c>
      <c r="C49" s="120">
        <v>1.7708333333333333E-2</v>
      </c>
      <c r="D49" s="120">
        <v>-2.0990181755274694E-2</v>
      </c>
      <c r="E49" s="120">
        <v>6.4300928973360261E-2</v>
      </c>
      <c r="F49" s="121">
        <v>1435.8401808531264</v>
      </c>
      <c r="G49" s="121">
        <v>144.95224783971605</v>
      </c>
      <c r="H49" s="121">
        <v>220.38794814929315</v>
      </c>
      <c r="I49" s="121">
        <v>434.11489226008382</v>
      </c>
      <c r="J49" s="120">
        <v>0.41949121655413851</v>
      </c>
      <c r="K49" s="120">
        <v>0.45818973164274651</v>
      </c>
      <c r="L49" s="122">
        <v>0.37289862091411158</v>
      </c>
      <c r="M49" s="123"/>
      <c r="N49" s="23">
        <v>2.7291599999999999E-2</v>
      </c>
      <c r="O49" s="125">
        <v>0.39901810731000986</v>
      </c>
      <c r="P49" s="125">
        <v>-9.328672274422023E-3</v>
      </c>
      <c r="Q49" s="125">
        <v>-4.6999101088020967E-2</v>
      </c>
      <c r="R49" s="125">
        <v>3.6026118556172548E-2</v>
      </c>
      <c r="T49" s="220">
        <v>43942</v>
      </c>
      <c r="U49" s="220"/>
      <c r="V49" s="221">
        <v>421</v>
      </c>
      <c r="W49" s="221"/>
    </row>
    <row r="50" spans="1:23">
      <c r="A50" s="119">
        <v>1959</v>
      </c>
      <c r="B50" s="120">
        <v>0.12056457163557326</v>
      </c>
      <c r="C50" s="120">
        <v>3.3858333333333331E-2</v>
      </c>
      <c r="D50" s="120">
        <v>-2.6466312591385065E-2</v>
      </c>
      <c r="E50" s="120">
        <v>1.5743430895022732E-2</v>
      </c>
      <c r="F50" s="121">
        <v>1608.9516371948275</v>
      </c>
      <c r="G50" s="121">
        <v>149.86008936448911</v>
      </c>
      <c r="H50" s="121">
        <v>214.55509182219998</v>
      </c>
      <c r="I50" s="121">
        <v>440.94935006688075</v>
      </c>
      <c r="J50" s="120">
        <v>8.6706238302239919E-2</v>
      </c>
      <c r="K50" s="120">
        <v>0.14703088422695831</v>
      </c>
      <c r="L50" s="122">
        <v>0.10482114074055052</v>
      </c>
      <c r="M50" s="123"/>
      <c r="N50" s="23">
        <v>1.0106800000000001E-2</v>
      </c>
      <c r="O50" s="125">
        <v>0.10935256711030283</v>
      </c>
      <c r="P50" s="125">
        <v>2.3513883218421405E-2</v>
      </c>
      <c r="Q50" s="125">
        <v>-3.6207173925950298E-2</v>
      </c>
      <c r="R50" s="125">
        <v>5.58023260017948E-3</v>
      </c>
      <c r="T50" s="220">
        <v>43941</v>
      </c>
      <c r="U50" s="220"/>
      <c r="V50" s="221">
        <v>403</v>
      </c>
      <c r="W50" s="221"/>
    </row>
    <row r="51" spans="1:23">
      <c r="A51" s="119">
        <v>1960</v>
      </c>
      <c r="B51" s="120">
        <v>3.36535314743695E-3</v>
      </c>
      <c r="C51" s="120">
        <v>2.8833333333333332E-2</v>
      </c>
      <c r="D51" s="120">
        <v>0.11639503690963365</v>
      </c>
      <c r="E51" s="120">
        <v>6.6631871633034342E-2</v>
      </c>
      <c r="F51" s="121">
        <v>1614.366327651135</v>
      </c>
      <c r="G51" s="121">
        <v>154.18105527449853</v>
      </c>
      <c r="H51" s="121">
        <v>239.52823965399477</v>
      </c>
      <c r="I51" s="121">
        <v>470.33063055720703</v>
      </c>
      <c r="J51" s="120">
        <v>-2.5467980185896383E-2</v>
      </c>
      <c r="K51" s="120">
        <v>-0.1130296837621967</v>
      </c>
      <c r="L51" s="122">
        <v>-6.3266518485597389E-2</v>
      </c>
      <c r="M51" s="122">
        <v>6.1119788031217315E-2</v>
      </c>
      <c r="N51" s="23">
        <v>1.45798E-2</v>
      </c>
      <c r="O51" s="125">
        <v>-1.105329206491501E-2</v>
      </c>
      <c r="P51" s="125">
        <v>1.4048706009456735E-2</v>
      </c>
      <c r="Q51" s="125">
        <v>0.10035212302633423</v>
      </c>
      <c r="R51" s="125">
        <v>5.1304068574038686E-2</v>
      </c>
      <c r="T51" s="220">
        <v>43938</v>
      </c>
      <c r="U51" s="220"/>
      <c r="V51" s="221">
        <v>397</v>
      </c>
      <c r="W51" s="221"/>
    </row>
    <row r="52" spans="1:23">
      <c r="A52" s="119">
        <v>1961</v>
      </c>
      <c r="B52" s="120">
        <v>0.26637712958182752</v>
      </c>
      <c r="C52" s="120">
        <v>2.3541666666666666E-2</v>
      </c>
      <c r="D52" s="120">
        <v>2.0609208076323167E-2</v>
      </c>
      <c r="E52" s="120">
        <v>5.0999999999999997E-2</v>
      </c>
      <c r="F52" s="121">
        <v>2044.3965961044005</v>
      </c>
      <c r="G52" s="121">
        <v>157.81073428408567</v>
      </c>
      <c r="H52" s="121">
        <v>244.46472698517934</v>
      </c>
      <c r="I52" s="121">
        <v>494.31749271562455</v>
      </c>
      <c r="J52" s="120">
        <v>0.24283546291516087</v>
      </c>
      <c r="K52" s="120">
        <v>0.24576792150550436</v>
      </c>
      <c r="L52" s="122">
        <v>0.21537712958182753</v>
      </c>
      <c r="M52" s="122">
        <v>6.6173591829972622E-2</v>
      </c>
      <c r="N52" s="23">
        <v>1.0707199999999998E-2</v>
      </c>
      <c r="O52" s="125">
        <v>0.25296142105431496</v>
      </c>
      <c r="P52" s="125">
        <v>1.2698501273827434E-2</v>
      </c>
      <c r="Q52" s="125">
        <v>9.7971084764443273E-3</v>
      </c>
      <c r="R52" s="125">
        <v>3.9865947328761475E-2</v>
      </c>
      <c r="T52" s="220">
        <v>43937</v>
      </c>
      <c r="U52" s="220"/>
      <c r="V52" s="221">
        <v>400</v>
      </c>
      <c r="W52" s="221"/>
    </row>
    <row r="53" spans="1:23">
      <c r="A53" s="119">
        <v>1962</v>
      </c>
      <c r="B53" s="120">
        <v>-8.8114605171208879E-2</v>
      </c>
      <c r="C53" s="120">
        <v>2.7733333333333336E-2</v>
      </c>
      <c r="D53" s="120">
        <v>5.693544054008462E-2</v>
      </c>
      <c r="E53" s="120">
        <v>6.4953279936065755E-2</v>
      </c>
      <c r="F53" s="121">
        <v>1864.2553972252979</v>
      </c>
      <c r="G53" s="121">
        <v>162.18735198156432</v>
      </c>
      <c r="H53" s="121">
        <v>258.38343391259201</v>
      </c>
      <c r="I53" s="121">
        <v>526.42503519727666</v>
      </c>
      <c r="J53" s="120">
        <v>-0.11584793850454221</v>
      </c>
      <c r="K53" s="120">
        <v>-0.14505004571129348</v>
      </c>
      <c r="L53" s="122">
        <v>-0.15306788510727465</v>
      </c>
      <c r="M53" s="122">
        <v>5.9683465378989942E-2</v>
      </c>
      <c r="N53" s="23">
        <v>1.1987699999999999E-2</v>
      </c>
      <c r="O53" s="125">
        <v>-9.8916523561708103E-2</v>
      </c>
      <c r="P53" s="125">
        <v>1.5559115326533535E-2</v>
      </c>
      <c r="Q53" s="125">
        <v>4.4415303209796475E-2</v>
      </c>
      <c r="R53" s="125">
        <v>5.2338165707019657E-2</v>
      </c>
      <c r="T53" s="220">
        <v>43936</v>
      </c>
      <c r="U53" s="220"/>
      <c r="V53" s="221">
        <v>394</v>
      </c>
      <c r="W53" s="221"/>
    </row>
    <row r="54" spans="1:23">
      <c r="A54" s="119">
        <v>1963</v>
      </c>
      <c r="B54" s="120">
        <v>0.22611927099841514</v>
      </c>
      <c r="C54" s="120">
        <v>3.1591666666666664E-2</v>
      </c>
      <c r="D54" s="120">
        <v>1.6841620739546127E-2</v>
      </c>
      <c r="E54" s="120">
        <v>5.4644805711862345E-2</v>
      </c>
      <c r="F54" s="121">
        <v>2285.7994686007432</v>
      </c>
      <c r="G54" s="121">
        <v>167.31112074291525</v>
      </c>
      <c r="H54" s="121">
        <v>262.73502971192949</v>
      </c>
      <c r="I54" s="121">
        <v>555.19142896749213</v>
      </c>
      <c r="J54" s="120">
        <v>0.19452760433174848</v>
      </c>
      <c r="K54" s="120">
        <v>0.20927765025886902</v>
      </c>
      <c r="L54" s="122">
        <v>0.1714744652865528</v>
      </c>
      <c r="M54" s="122">
        <v>6.3618993911514821E-2</v>
      </c>
      <c r="N54" s="23">
        <v>1.23967E-2</v>
      </c>
      <c r="O54" s="125">
        <v>0.21110555871864767</v>
      </c>
      <c r="P54" s="125">
        <v>1.8959926150160955E-2</v>
      </c>
      <c r="Q54" s="125">
        <v>4.3904931135652081E-3</v>
      </c>
      <c r="R54" s="125">
        <v>4.1730781729990118E-2</v>
      </c>
      <c r="T54" s="220">
        <v>43935</v>
      </c>
      <c r="U54" s="220"/>
      <c r="V54" s="221">
        <v>366</v>
      </c>
      <c r="W54" s="221"/>
    </row>
    <row r="55" spans="1:23">
      <c r="A55" s="119">
        <v>1964</v>
      </c>
      <c r="B55" s="120">
        <v>0.16415455878432425</v>
      </c>
      <c r="C55" s="120">
        <v>3.5466666666666667E-2</v>
      </c>
      <c r="D55" s="120">
        <v>3.7280648911540815E-2</v>
      </c>
      <c r="E55" s="120">
        <v>5.1617392722850271E-2</v>
      </c>
      <c r="F55" s="121">
        <v>2661.0238718383412</v>
      </c>
      <c r="G55" s="121">
        <v>173.24508849193066</v>
      </c>
      <c r="H55" s="121">
        <v>272.52996211138321</v>
      </c>
      <c r="I55" s="121">
        <v>583.84896299286754</v>
      </c>
      <c r="J55" s="120">
        <v>0.12868789211765758</v>
      </c>
      <c r="K55" s="120">
        <v>0.12687390987278344</v>
      </c>
      <c r="L55" s="122">
        <v>0.11253716606147399</v>
      </c>
      <c r="M55" s="122">
        <v>6.5267777442658215E-2</v>
      </c>
      <c r="N55" s="23">
        <v>1.2789099999999999E-2</v>
      </c>
      <c r="O55" s="125">
        <v>0.14945407566523405</v>
      </c>
      <c r="P55" s="125">
        <v>2.2391203328182341E-2</v>
      </c>
      <c r="Q55" s="125">
        <v>2.4182279323050393E-2</v>
      </c>
      <c r="R55" s="125">
        <v>3.8337984406477288E-2</v>
      </c>
      <c r="T55" s="220">
        <v>43934</v>
      </c>
      <c r="U55" s="220"/>
      <c r="V55" s="221">
        <v>374</v>
      </c>
      <c r="W55" s="221"/>
    </row>
    <row r="56" spans="1:23">
      <c r="A56" s="119">
        <v>1965</v>
      </c>
      <c r="B56" s="120">
        <v>0.12399242477876114</v>
      </c>
      <c r="C56" s="120">
        <v>3.9491666666666668E-2</v>
      </c>
      <c r="D56" s="120">
        <v>7.1885509359262342E-3</v>
      </c>
      <c r="E56" s="120">
        <v>3.1900094622538809E-2</v>
      </c>
      <c r="F56" s="121">
        <v>2990.9706741017444</v>
      </c>
      <c r="G56" s="121">
        <v>180.08682577829117</v>
      </c>
      <c r="H56" s="121">
        <v>274.48905762558695</v>
      </c>
      <c r="I56" s="121">
        <v>602.47380015761109</v>
      </c>
      <c r="J56" s="120">
        <v>8.4500758112094482E-2</v>
      </c>
      <c r="K56" s="120">
        <v>0.11680387384283492</v>
      </c>
      <c r="L56" s="122">
        <v>9.2092330156222341E-2</v>
      </c>
      <c r="M56" s="122">
        <v>6.6617941689874449E-2</v>
      </c>
      <c r="N56" s="23">
        <v>1.58517E-2</v>
      </c>
      <c r="O56" s="125">
        <v>0.10645325964287999</v>
      </c>
      <c r="P56" s="125">
        <v>2.3271080480218309E-2</v>
      </c>
      <c r="Q56" s="125">
        <v>-8.527966300665546E-3</v>
      </c>
      <c r="R56" s="125">
        <v>1.5797969942402679E-2</v>
      </c>
      <c r="T56" s="220">
        <v>43930</v>
      </c>
      <c r="U56" s="220"/>
      <c r="V56" s="221">
        <v>390</v>
      </c>
      <c r="W56" s="221"/>
    </row>
    <row r="57" spans="1:23">
      <c r="A57" s="119">
        <v>1966</v>
      </c>
      <c r="B57" s="120">
        <v>-9.9709542356377898E-2</v>
      </c>
      <c r="C57" s="120">
        <v>4.8625000000000002E-2</v>
      </c>
      <c r="D57" s="120">
        <v>2.9079409324299622E-2</v>
      </c>
      <c r="E57" s="120">
        <v>-3.4453615975776369E-2</v>
      </c>
      <c r="F57" s="121">
        <v>2692.7423569857124</v>
      </c>
      <c r="G57" s="121">
        <v>188.84354768176055</v>
      </c>
      <c r="H57" s="121">
        <v>282.47103728732264</v>
      </c>
      <c r="I57" s="121">
        <v>581.71639921151416</v>
      </c>
      <c r="J57" s="120">
        <v>-0.14833454235637789</v>
      </c>
      <c r="K57" s="120">
        <v>-0.12878895168067753</v>
      </c>
      <c r="L57" s="122">
        <v>-6.5255926380601528E-2</v>
      </c>
      <c r="M57" s="122">
        <v>6.1123719679815336E-2</v>
      </c>
      <c r="N57" s="23">
        <v>3.0150800000000002E-2</v>
      </c>
      <c r="O57" s="125">
        <v>-0.12605954619107973</v>
      </c>
      <c r="P57" s="125">
        <v>1.7933490902497073E-2</v>
      </c>
      <c r="Q57" s="125">
        <v>-1.0400328531514624E-3</v>
      </c>
      <c r="R57" s="125">
        <v>-6.2713552205925893E-2</v>
      </c>
      <c r="T57" s="220">
        <v>43929</v>
      </c>
      <c r="U57" s="220"/>
      <c r="V57" s="221">
        <v>415</v>
      </c>
      <c r="W57" s="221"/>
    </row>
    <row r="58" spans="1:23">
      <c r="A58" s="119">
        <v>1967</v>
      </c>
      <c r="B58" s="120">
        <v>0.23802966513133328</v>
      </c>
      <c r="C58" s="120">
        <v>4.306666666666667E-2</v>
      </c>
      <c r="D58" s="120">
        <v>-1.5806209932824666E-2</v>
      </c>
      <c r="E58" s="120">
        <v>8.9522661484468247E-3</v>
      </c>
      <c r="F58" s="121">
        <v>3333.6949185039784</v>
      </c>
      <c r="G58" s="121">
        <v>196.9764098019217</v>
      </c>
      <c r="H58" s="121">
        <v>278.0062407720165</v>
      </c>
      <c r="I58" s="121">
        <v>586.92407924017186</v>
      </c>
      <c r="J58" s="120">
        <v>0.19496299846466661</v>
      </c>
      <c r="K58" s="120">
        <v>0.25383587506415795</v>
      </c>
      <c r="L58" s="122">
        <v>0.22907739898288645</v>
      </c>
      <c r="M58" s="122">
        <v>6.5732838776739522E-2</v>
      </c>
      <c r="N58" s="23">
        <v>2.77279E-2</v>
      </c>
      <c r="O58" s="125">
        <v>0.2046278641762409</v>
      </c>
      <c r="P58" s="125">
        <v>1.4924929708210355E-2</v>
      </c>
      <c r="Q58" s="125">
        <v>-4.2359568065462261E-2</v>
      </c>
      <c r="R58" s="125">
        <v>-1.8269070881069771E-2</v>
      </c>
      <c r="T58" s="220">
        <v>43928</v>
      </c>
      <c r="U58" s="220"/>
      <c r="V58" s="221">
        <v>418</v>
      </c>
      <c r="W58" s="221"/>
    </row>
    <row r="59" spans="1:23">
      <c r="A59" s="119">
        <v>1968</v>
      </c>
      <c r="B59" s="120">
        <v>0.10814862651601535</v>
      </c>
      <c r="C59" s="120">
        <v>5.3383333333333331E-2</v>
      </c>
      <c r="D59" s="120">
        <v>3.2746196950768365E-2</v>
      </c>
      <c r="E59" s="120">
        <v>4.845146224309746E-2</v>
      </c>
      <c r="F59" s="121">
        <v>3694.2294451636035</v>
      </c>
      <c r="G59" s="121">
        <v>207.49166714518097</v>
      </c>
      <c r="H59" s="121">
        <v>287.10988788587969</v>
      </c>
      <c r="I59" s="121">
        <v>615.36140910504173</v>
      </c>
      <c r="J59" s="120">
        <v>5.4765293182682022E-2</v>
      </c>
      <c r="K59" s="120">
        <v>7.5402429565246981E-2</v>
      </c>
      <c r="L59" s="122">
        <v>5.9697164272917894E-2</v>
      </c>
      <c r="M59" s="122">
        <v>6.596627828748769E-2</v>
      </c>
      <c r="N59" s="23">
        <v>4.2717999999999999E-2</v>
      </c>
      <c r="O59" s="125">
        <v>6.2750069065668157E-2</v>
      </c>
      <c r="P59" s="125">
        <v>1.0228396683795049E-2</v>
      </c>
      <c r="Q59" s="125">
        <v>-9.5632789011331765E-3</v>
      </c>
      <c r="R59" s="125">
        <v>5.4985741524529175E-3</v>
      </c>
      <c r="T59" s="220">
        <v>43927</v>
      </c>
      <c r="U59" s="220"/>
      <c r="V59" s="221">
        <v>437</v>
      </c>
      <c r="W59" s="221"/>
    </row>
    <row r="60" spans="1:23">
      <c r="A60" s="119">
        <v>1969</v>
      </c>
      <c r="B60" s="120">
        <v>-8.2413710764490639E-2</v>
      </c>
      <c r="C60" s="120">
        <v>6.6666666666666666E-2</v>
      </c>
      <c r="D60" s="120">
        <v>-5.0140493209926106E-2</v>
      </c>
      <c r="E60" s="120">
        <v>-2.0251642507921469E-2</v>
      </c>
      <c r="F60" s="121">
        <v>3389.7742881722256</v>
      </c>
      <c r="G60" s="121">
        <v>221.3244449548597</v>
      </c>
      <c r="H60" s="121">
        <v>272.7140565018351</v>
      </c>
      <c r="I60" s="121">
        <v>602.89932983467565</v>
      </c>
      <c r="J60" s="120">
        <v>-0.14908037743115732</v>
      </c>
      <c r="K60" s="120">
        <v>-3.2273217554564533E-2</v>
      </c>
      <c r="L60" s="122">
        <v>-6.216206825656917E-2</v>
      </c>
      <c r="M60" s="122">
        <v>6.3333872734198771E-2</v>
      </c>
      <c r="N60" s="23">
        <v>5.4623900000000003E-2</v>
      </c>
      <c r="O60" s="125">
        <v>-0.12993979253124321</v>
      </c>
      <c r="P60" s="125">
        <v>1.1419015505590879E-2</v>
      </c>
      <c r="Q60" s="125">
        <v>-9.9338155725397503E-2</v>
      </c>
      <c r="R60" s="125">
        <v>-7.0997388270758299E-2</v>
      </c>
      <c r="T60" s="220">
        <v>43924</v>
      </c>
      <c r="U60" s="220"/>
      <c r="V60" s="221">
        <v>445</v>
      </c>
      <c r="W60" s="221"/>
    </row>
    <row r="61" spans="1:23">
      <c r="A61" s="119">
        <v>1970</v>
      </c>
      <c r="B61" s="120">
        <v>3.5611449054964189E-2</v>
      </c>
      <c r="C61" s="120">
        <v>6.3916666666666663E-2</v>
      </c>
      <c r="D61" s="120">
        <v>0.16754737183412338</v>
      </c>
      <c r="E61" s="120">
        <v>5.6495676569888728E-2</v>
      </c>
      <c r="F61" s="121">
        <v>3510.4890625432981</v>
      </c>
      <c r="G61" s="121">
        <v>235.47076572822448</v>
      </c>
      <c r="H61" s="121">
        <v>318.40657993094021</v>
      </c>
      <c r="I61" s="121">
        <v>636.96053537721821</v>
      </c>
      <c r="J61" s="120">
        <v>-2.8305217611702474E-2</v>
      </c>
      <c r="K61" s="120">
        <v>-0.13193592277915919</v>
      </c>
      <c r="L61" s="122">
        <v>-2.0884227514924539E-2</v>
      </c>
      <c r="M61" s="122">
        <v>5.8972566666315007E-2</v>
      </c>
      <c r="N61" s="23">
        <v>5.83826E-2</v>
      </c>
      <c r="O61" s="125">
        <v>-2.1515046586211728E-2</v>
      </c>
      <c r="P61" s="125">
        <v>5.2287959634507164E-3</v>
      </c>
      <c r="Q61" s="125">
        <v>0.10314301447711194</v>
      </c>
      <c r="R61" s="125">
        <v>-1.7828367833251368E-3</v>
      </c>
      <c r="T61" s="220">
        <v>43923</v>
      </c>
      <c r="U61" s="220"/>
      <c r="V61" s="221">
        <v>427</v>
      </c>
      <c r="W61" s="221"/>
    </row>
    <row r="62" spans="1:23">
      <c r="A62" s="119">
        <v>1971</v>
      </c>
      <c r="B62" s="120">
        <v>0.14221150298426474</v>
      </c>
      <c r="C62" s="120">
        <v>4.3324999999999995E-2</v>
      </c>
      <c r="D62" s="120">
        <v>9.7868966197122972E-2</v>
      </c>
      <c r="E62" s="120">
        <v>0.1400146617421994</v>
      </c>
      <c r="F62" s="121">
        <v>4009.720988337403</v>
      </c>
      <c r="G62" s="121">
        <v>245.67253665339982</v>
      </c>
      <c r="H62" s="121">
        <v>349.56870273914296</v>
      </c>
      <c r="I62" s="121">
        <v>726.14434928118965</v>
      </c>
      <c r="J62" s="120">
        <v>9.888650298426474E-2</v>
      </c>
      <c r="K62" s="120">
        <v>4.434253678714177E-2</v>
      </c>
      <c r="L62" s="122">
        <v>2.1968412420653449E-3</v>
      </c>
      <c r="M62" s="122">
        <v>5.8660636809878541E-2</v>
      </c>
      <c r="N62" s="23">
        <v>4.2927699999999999E-2</v>
      </c>
      <c r="O62" s="125">
        <v>9.5197205889022696E-2</v>
      </c>
      <c r="P62" s="125">
        <v>3.8094682881673059E-4</v>
      </c>
      <c r="Q62" s="125">
        <v>5.2679841754249335E-2</v>
      </c>
      <c r="R62" s="125">
        <v>9.3090788308910932E-2</v>
      </c>
      <c r="T62" s="220">
        <v>43922</v>
      </c>
      <c r="U62" s="220"/>
      <c r="V62" s="221">
        <v>414</v>
      </c>
      <c r="W62" s="221"/>
    </row>
    <row r="63" spans="1:23">
      <c r="A63" s="119">
        <v>1972</v>
      </c>
      <c r="B63" s="120">
        <v>0.18755362915074925</v>
      </c>
      <c r="C63" s="120">
        <v>4.0724999999999997E-2</v>
      </c>
      <c r="D63" s="120">
        <v>2.818449050444969E-2</v>
      </c>
      <c r="E63" s="120">
        <v>0.11409093579389698</v>
      </c>
      <c r="F63" s="121">
        <v>4761.7587115820115</v>
      </c>
      <c r="G63" s="121">
        <v>255.67755070860949</v>
      </c>
      <c r="H63" s="121">
        <v>359.42111852214714</v>
      </c>
      <c r="I63" s="121">
        <v>808.99083761213103</v>
      </c>
      <c r="J63" s="120">
        <v>0.14682862915074923</v>
      </c>
      <c r="K63" s="120">
        <v>0.15936913864629956</v>
      </c>
      <c r="L63" s="122">
        <v>7.3462693356852266E-2</v>
      </c>
      <c r="M63" s="122">
        <v>6.0804303728189568E-2</v>
      </c>
      <c r="N63" s="23">
        <v>3.2722799999999996E-2</v>
      </c>
      <c r="O63" s="125">
        <v>0.14992486769029334</v>
      </c>
      <c r="P63" s="125">
        <v>7.7486427141919556E-3</v>
      </c>
      <c r="Q63" s="125">
        <v>-4.3945088609936844E-3</v>
      </c>
      <c r="R63" s="125">
        <v>7.8789909348275344E-2</v>
      </c>
      <c r="T63" s="220">
        <v>43921</v>
      </c>
      <c r="U63" s="220"/>
      <c r="V63" s="221">
        <v>389</v>
      </c>
      <c r="W63" s="221"/>
    </row>
    <row r="64" spans="1:23">
      <c r="A64" s="119">
        <v>1973</v>
      </c>
      <c r="B64" s="120">
        <v>-0.14308047437526472</v>
      </c>
      <c r="C64" s="120">
        <v>7.0316666666666666E-2</v>
      </c>
      <c r="D64" s="120">
        <v>3.6586646024150085E-2</v>
      </c>
      <c r="E64" s="120">
        <v>4.3180404854323576E-2</v>
      </c>
      <c r="F64" s="121">
        <v>4080.4440162683081</v>
      </c>
      <c r="G64" s="121">
        <v>273.6559438159365</v>
      </c>
      <c r="H64" s="121">
        <v>372.57113175912104</v>
      </c>
      <c r="I64" s="121">
        <v>843.92338950366127</v>
      </c>
      <c r="J64" s="120">
        <v>-0.21339714104193139</v>
      </c>
      <c r="K64" s="120">
        <v>-0.17966712039941479</v>
      </c>
      <c r="L64" s="122">
        <v>-0.18626087922958828</v>
      </c>
      <c r="M64" s="122">
        <v>5.4960045718843054E-2</v>
      </c>
      <c r="N64" s="23">
        <v>6.1777600000000002E-2</v>
      </c>
      <c r="O64" s="125">
        <v>-0.19293877962321371</v>
      </c>
      <c r="P64" s="125">
        <v>8.0422365914165628E-3</v>
      </c>
      <c r="Q64" s="125">
        <v>-2.3725264100363352E-2</v>
      </c>
      <c r="R64" s="125">
        <v>-1.7515151144341767E-2</v>
      </c>
      <c r="T64" s="220">
        <v>43920</v>
      </c>
      <c r="U64" s="220"/>
      <c r="V64" s="221">
        <v>393</v>
      </c>
      <c r="W64" s="221"/>
    </row>
    <row r="65" spans="1:23">
      <c r="A65" s="119">
        <v>1974</v>
      </c>
      <c r="B65" s="120">
        <v>-0.25901785750896972</v>
      </c>
      <c r="C65" s="120">
        <v>7.8299999999999995E-2</v>
      </c>
      <c r="D65" s="120">
        <v>1.9886086932378574E-2</v>
      </c>
      <c r="E65" s="120">
        <v>-4.3807197977191667E-2</v>
      </c>
      <c r="F65" s="121">
        <v>3023.5361494891954</v>
      </c>
      <c r="G65" s="121">
        <v>295.08320421672431</v>
      </c>
      <c r="H65" s="121">
        <v>379.98011367377757</v>
      </c>
      <c r="I65" s="121">
        <v>806.9534705020917</v>
      </c>
      <c r="J65" s="120">
        <v>-0.3373178575089697</v>
      </c>
      <c r="K65" s="120">
        <v>-0.27890394444134831</v>
      </c>
      <c r="L65" s="122">
        <v>-0.21521065953177804</v>
      </c>
      <c r="M65" s="122">
        <v>4.6417018581159875E-2</v>
      </c>
      <c r="N65" s="23">
        <v>0.11054800000000001</v>
      </c>
      <c r="O65" s="125">
        <v>-0.33277792360975822</v>
      </c>
      <c r="P65" s="125">
        <v>-2.90379164160397E-2</v>
      </c>
      <c r="Q65" s="125">
        <v>-8.1637095440828866E-2</v>
      </c>
      <c r="R65" s="125">
        <v>-0.13899011837146324</v>
      </c>
      <c r="T65" s="220">
        <v>43917</v>
      </c>
      <c r="U65" s="220"/>
      <c r="V65" s="221">
        <v>375</v>
      </c>
      <c r="W65" s="221"/>
    </row>
    <row r="66" spans="1:23">
      <c r="A66" s="119">
        <v>1975</v>
      </c>
      <c r="B66" s="120">
        <v>0.36995137106184356</v>
      </c>
      <c r="C66" s="120">
        <v>5.7750000000000003E-2</v>
      </c>
      <c r="D66" s="120">
        <v>3.6052536026033838E-2</v>
      </c>
      <c r="E66" s="120">
        <v>0.11049964074144952</v>
      </c>
      <c r="F66" s="121">
        <v>4142.0974934477708</v>
      </c>
      <c r="G66" s="121">
        <v>312.12425926024014</v>
      </c>
      <c r="H66" s="121">
        <v>393.67936041117781</v>
      </c>
      <c r="I66" s="121">
        <v>896.12153908763878</v>
      </c>
      <c r="J66" s="120">
        <v>0.31220137106184354</v>
      </c>
      <c r="K66" s="120">
        <v>0.33389883503580975</v>
      </c>
      <c r="L66" s="122">
        <v>0.25945173032039404</v>
      </c>
      <c r="M66" s="122">
        <v>5.1706756781676244E-2</v>
      </c>
      <c r="N66" s="23">
        <v>9.1431499999999999E-2</v>
      </c>
      <c r="O66" s="125">
        <v>0.25518767880700111</v>
      </c>
      <c r="P66" s="125">
        <v>-3.0859930284218628E-2</v>
      </c>
      <c r="Q66" s="125">
        <v>-5.0739752310581476E-2</v>
      </c>
      <c r="R66" s="125">
        <v>1.7470762701506715E-2</v>
      </c>
      <c r="T66" s="220">
        <v>43916</v>
      </c>
      <c r="U66" s="220"/>
      <c r="V66" s="221">
        <v>343</v>
      </c>
      <c r="W66" s="221"/>
    </row>
    <row r="67" spans="1:23">
      <c r="A67" s="119">
        <v>1976</v>
      </c>
      <c r="B67" s="120">
        <v>0.23830999002106662</v>
      </c>
      <c r="C67" s="120">
        <v>4.974166666666667E-2</v>
      </c>
      <c r="D67" s="120">
        <v>0.1598456074290921</v>
      </c>
      <c r="E67" s="120">
        <v>0.19752813987098014</v>
      </c>
      <c r="F67" s="121">
        <v>5129.2007057775936</v>
      </c>
      <c r="G67" s="121">
        <v>327.6498401229432</v>
      </c>
      <c r="H67" s="121">
        <v>456.607276908399</v>
      </c>
      <c r="I67" s="121">
        <v>1073.1307598019398</v>
      </c>
      <c r="J67" s="120">
        <v>0.18856832335439994</v>
      </c>
      <c r="K67" s="120">
        <v>7.8464382591974524E-2</v>
      </c>
      <c r="L67" s="122">
        <v>4.0781850150086479E-2</v>
      </c>
      <c r="M67" s="122">
        <v>5.2196588038950109E-2</v>
      </c>
      <c r="N67" s="23">
        <v>5.7448100000000002E-2</v>
      </c>
      <c r="O67" s="125">
        <v>0.17103618609846349</v>
      </c>
      <c r="P67" s="125">
        <v>-7.2877650764452406E-3</v>
      </c>
      <c r="Q67" s="125">
        <v>9.6834546706445535E-2</v>
      </c>
      <c r="R67" s="125">
        <v>0.13246989603648629</v>
      </c>
      <c r="T67" s="220">
        <v>43915</v>
      </c>
      <c r="U67" s="220"/>
      <c r="V67" s="221">
        <v>370</v>
      </c>
      <c r="W67" s="221"/>
    </row>
    <row r="68" spans="1:23">
      <c r="A68" s="119">
        <v>1977</v>
      </c>
      <c r="B68" s="120">
        <v>-6.9797040759352322E-2</v>
      </c>
      <c r="C68" s="120">
        <v>5.2691666666666671E-2</v>
      </c>
      <c r="D68" s="120">
        <v>1.2899606071070449E-2</v>
      </c>
      <c r="E68" s="120">
        <v>9.9546628520906386E-2</v>
      </c>
      <c r="F68" s="121">
        <v>4771.1976750535359</v>
      </c>
      <c r="G68" s="121">
        <v>344.91425628208793</v>
      </c>
      <c r="H68" s="121">
        <v>462.49733090970153</v>
      </c>
      <c r="I68" s="121">
        <v>1179.9573089023015</v>
      </c>
      <c r="J68" s="120">
        <v>-0.122488707426019</v>
      </c>
      <c r="K68" s="120">
        <v>-8.2696646830422771E-2</v>
      </c>
      <c r="L68" s="122">
        <v>-0.16934366928025871</v>
      </c>
      <c r="M68" s="122">
        <v>4.9266761357046551E-2</v>
      </c>
      <c r="N68" s="23">
        <v>6.50168E-2</v>
      </c>
      <c r="O68" s="125">
        <v>-0.12658376915683611</v>
      </c>
      <c r="P68" s="125">
        <v>-1.1572712593203582E-2</v>
      </c>
      <c r="Q68" s="125">
        <v>-4.8935560386399124E-2</v>
      </c>
      <c r="R68" s="125">
        <v>3.2421862754565378E-2</v>
      </c>
      <c r="T68" s="220">
        <v>43914</v>
      </c>
      <c r="U68" s="220"/>
      <c r="V68" s="221">
        <v>427</v>
      </c>
      <c r="W68" s="221"/>
    </row>
    <row r="69" spans="1:23">
      <c r="A69" s="119">
        <v>1978</v>
      </c>
      <c r="B69" s="120">
        <v>6.50928391167193E-2</v>
      </c>
      <c r="C69" s="120">
        <v>7.1883333333333341E-2</v>
      </c>
      <c r="D69" s="120">
        <v>-7.7758069075086478E-3</v>
      </c>
      <c r="E69" s="120">
        <v>3.1375849771690861E-2</v>
      </c>
      <c r="F69" s="121">
        <v>5081.7684777098611</v>
      </c>
      <c r="G69" s="121">
        <v>369.70784273783198</v>
      </c>
      <c r="H69" s="121">
        <v>458.90104096930958</v>
      </c>
      <c r="I69" s="121">
        <v>1216.9794721634289</v>
      </c>
      <c r="J69" s="120">
        <v>-6.7904942166140403E-3</v>
      </c>
      <c r="K69" s="120">
        <v>7.2868646024227948E-2</v>
      </c>
      <c r="L69" s="122">
        <v>3.3716989345028439E-2</v>
      </c>
      <c r="M69" s="122">
        <v>4.9741898913203242E-2</v>
      </c>
      <c r="N69" s="23">
        <v>7.6309600000000005E-2</v>
      </c>
      <c r="O69" s="125">
        <v>-1.0421500359451108E-2</v>
      </c>
      <c r="P69" s="125">
        <v>-4.1124474469677041E-3</v>
      </c>
      <c r="Q69" s="125">
        <v>-7.8123810200623311E-2</v>
      </c>
      <c r="R69" s="125">
        <v>-4.1747978674824715E-2</v>
      </c>
      <c r="T69" s="220">
        <v>43913</v>
      </c>
      <c r="U69" s="220"/>
      <c r="V69" s="221">
        <v>476</v>
      </c>
      <c r="W69" s="221"/>
    </row>
    <row r="70" spans="1:23">
      <c r="A70" s="119">
        <v>1979</v>
      </c>
      <c r="B70" s="120">
        <v>0.18519490167516386</v>
      </c>
      <c r="C70" s="120">
        <v>0.10069166666666667</v>
      </c>
      <c r="D70" s="120">
        <v>6.7072031247235459E-3</v>
      </c>
      <c r="E70" s="120">
        <v>-2.0091101436615355E-2</v>
      </c>
      <c r="F70" s="121">
        <v>6022.8860912752862</v>
      </c>
      <c r="G70" s="121">
        <v>406.93434160284215</v>
      </c>
      <c r="H70" s="121">
        <v>461.97898346523777</v>
      </c>
      <c r="I70" s="121">
        <v>1192.5290141419148</v>
      </c>
      <c r="J70" s="120">
        <v>8.4503235008497199E-2</v>
      </c>
      <c r="K70" s="120">
        <v>0.17848769855044033</v>
      </c>
      <c r="L70" s="122">
        <v>0.20528600311177922</v>
      </c>
      <c r="M70" s="122">
        <v>5.2132252828986925E-2</v>
      </c>
      <c r="N70" s="23">
        <v>0.1125447</v>
      </c>
      <c r="O70" s="125">
        <v>6.5300928290938698E-2</v>
      </c>
      <c r="P70" s="125">
        <v>-1.0653983910339337E-2</v>
      </c>
      <c r="Q70" s="125">
        <v>-9.5131006309478128E-2</v>
      </c>
      <c r="R70" s="125">
        <v>-0.1192184021339685</v>
      </c>
      <c r="T70" s="220">
        <v>43910</v>
      </c>
      <c r="U70" s="220"/>
      <c r="V70" s="221">
        <v>453</v>
      </c>
      <c r="W70" s="221"/>
    </row>
    <row r="71" spans="1:23">
      <c r="A71" s="119">
        <v>1980</v>
      </c>
      <c r="B71" s="120">
        <v>0.3173524550676301</v>
      </c>
      <c r="C71" s="120">
        <v>0.11434166666666666</v>
      </c>
      <c r="D71" s="120">
        <v>-2.989744251999403E-2</v>
      </c>
      <c r="E71" s="120">
        <v>-3.3156783371910456E-2</v>
      </c>
      <c r="F71" s="121">
        <v>7934.2637789341807</v>
      </c>
      <c r="G71" s="121">
        <v>453.46389244561374</v>
      </c>
      <c r="H71" s="121">
        <v>448.16699336164055</v>
      </c>
      <c r="I71" s="121">
        <v>1152.9885879552935</v>
      </c>
      <c r="J71" s="120">
        <v>0.20301078840096343</v>
      </c>
      <c r="K71" s="120">
        <v>0.34724989758762415</v>
      </c>
      <c r="L71" s="122">
        <v>0.35050923843954057</v>
      </c>
      <c r="M71" s="122">
        <v>5.7318705257589642E-2</v>
      </c>
      <c r="N71" s="23">
        <v>0.135492</v>
      </c>
      <c r="O71" s="125">
        <v>0.16016004962397812</v>
      </c>
      <c r="P71" s="125">
        <v>-1.8626580665767278E-2</v>
      </c>
      <c r="Q71" s="125">
        <v>-0.14565443219326424</v>
      </c>
      <c r="R71" s="125">
        <v>-0.14852485387119452</v>
      </c>
      <c r="T71" s="220">
        <v>43909</v>
      </c>
      <c r="U71" s="220"/>
      <c r="V71" s="221">
        <v>465</v>
      </c>
      <c r="W71" s="221"/>
    </row>
    <row r="72" spans="1:23">
      <c r="A72" s="119">
        <v>1981</v>
      </c>
      <c r="B72" s="120">
        <v>-4.7023902474955762E-2</v>
      </c>
      <c r="C72" s="120">
        <v>0.14025000000000001</v>
      </c>
      <c r="D72" s="120">
        <v>8.1992153358923542E-2</v>
      </c>
      <c r="E72" s="120">
        <v>8.4623994808912056E-2</v>
      </c>
      <c r="F72" s="121">
        <v>7561.1637327830058</v>
      </c>
      <c r="G72" s="121">
        <v>517.06220336111107</v>
      </c>
      <c r="H72" s="121">
        <v>484.91317021175587</v>
      </c>
      <c r="I72" s="121">
        <v>1250.5590882371571</v>
      </c>
      <c r="J72" s="120">
        <v>-0.18727390247495579</v>
      </c>
      <c r="K72" s="120">
        <v>-0.12901605583387932</v>
      </c>
      <c r="L72" s="122">
        <v>-0.13164789728386783</v>
      </c>
      <c r="M72" s="122">
        <v>5.3730990468644491E-2</v>
      </c>
      <c r="N72" s="23">
        <v>0.10334720000000001</v>
      </c>
      <c r="O72" s="125">
        <v>-0.13628629544259119</v>
      </c>
      <c r="P72" s="125">
        <v>3.3446226174317584E-2</v>
      </c>
      <c r="Q72" s="125">
        <v>-1.9354783916682217E-2</v>
      </c>
      <c r="R72" s="125">
        <v>-1.6969459106877638E-2</v>
      </c>
      <c r="T72" s="220">
        <v>43908</v>
      </c>
      <c r="U72" s="220"/>
      <c r="V72" s="221">
        <v>441</v>
      </c>
      <c r="W72" s="221"/>
    </row>
    <row r="73" spans="1:23">
      <c r="A73" s="119">
        <v>1982</v>
      </c>
      <c r="B73" s="120">
        <v>0.20419055079559353</v>
      </c>
      <c r="C73" s="120">
        <v>0.10614166666666666</v>
      </c>
      <c r="D73" s="120">
        <v>0.32814549486295586</v>
      </c>
      <c r="E73" s="120">
        <v>0.2905245565590866</v>
      </c>
      <c r="F73" s="121">
        <v>9105.0819200356327</v>
      </c>
      <c r="G73" s="121">
        <v>571.94404739619824</v>
      </c>
      <c r="H73" s="121">
        <v>644.03524241645721</v>
      </c>
      <c r="I73" s="121">
        <v>1613.8772127981929</v>
      </c>
      <c r="J73" s="120">
        <v>9.8048884128926872E-2</v>
      </c>
      <c r="K73" s="120">
        <v>-0.12395494406736232</v>
      </c>
      <c r="L73" s="122">
        <v>-8.6334005763493066E-2</v>
      </c>
      <c r="M73" s="122">
        <v>5.1038688692139678E-2</v>
      </c>
      <c r="N73" s="23">
        <v>6.1314300000000002E-2</v>
      </c>
      <c r="O73" s="125">
        <v>0.13462199726847501</v>
      </c>
      <c r="P73" s="125">
        <v>4.2237597916721326E-2</v>
      </c>
      <c r="Q73" s="125">
        <v>0.25141581043707384</v>
      </c>
      <c r="R73" s="125">
        <v>0.21596831076250123</v>
      </c>
      <c r="T73" s="220">
        <v>43907</v>
      </c>
      <c r="U73" s="220"/>
      <c r="V73" s="221">
        <v>374</v>
      </c>
      <c r="W73" s="221"/>
    </row>
    <row r="74" spans="1:23">
      <c r="A74" s="119">
        <v>1983</v>
      </c>
      <c r="B74" s="120">
        <v>0.22337155858930619</v>
      </c>
      <c r="C74" s="120">
        <v>8.6108333333333342E-2</v>
      </c>
      <c r="D74" s="120">
        <v>3.2002094451429264E-2</v>
      </c>
      <c r="E74" s="120">
        <v>0.16194289622798366</v>
      </c>
      <c r="F74" s="121">
        <v>11138.898259597305</v>
      </c>
      <c r="G74" s="121">
        <v>621.19319607740579</v>
      </c>
      <c r="H74" s="121">
        <v>664.64571907431775</v>
      </c>
      <c r="I74" s="121">
        <v>1875.233162795078</v>
      </c>
      <c r="J74" s="120">
        <v>0.13726322525597284</v>
      </c>
      <c r="K74" s="120">
        <v>0.19136946413787692</v>
      </c>
      <c r="L74" s="122">
        <v>6.1428662361322522E-2</v>
      </c>
      <c r="M74" s="122">
        <v>5.3402830654563971E-2</v>
      </c>
      <c r="N74" s="23">
        <v>3.2124399999999997E-2</v>
      </c>
      <c r="O74" s="125">
        <v>0.18529467822803736</v>
      </c>
      <c r="P74" s="125">
        <v>5.2303708093068169E-2</v>
      </c>
      <c r="Q74" s="125">
        <v>-1.1849884429715463E-4</v>
      </c>
      <c r="R74" s="125">
        <v>0.1257779548937934</v>
      </c>
      <c r="T74" s="220">
        <v>43906</v>
      </c>
      <c r="U74" s="220"/>
      <c r="V74" s="221">
        <v>395</v>
      </c>
      <c r="W74" s="221"/>
    </row>
    <row r="75" spans="1:23">
      <c r="A75" s="119">
        <v>1984</v>
      </c>
      <c r="B75" s="120">
        <v>6.14614199963621E-2</v>
      </c>
      <c r="C75" s="120">
        <v>9.5225000000000004E-2</v>
      </c>
      <c r="D75" s="120">
        <v>0.13733364344102345</v>
      </c>
      <c r="E75" s="120">
        <v>0.15619207332454216</v>
      </c>
      <c r="F75" s="121">
        <v>11823.510763827162</v>
      </c>
      <c r="G75" s="121">
        <v>680.34631817387685</v>
      </c>
      <c r="H75" s="121">
        <v>755.92393727227272</v>
      </c>
      <c r="I75" s="121">
        <v>2168.1297184589798</v>
      </c>
      <c r="J75" s="120">
        <v>-3.3763580003637904E-2</v>
      </c>
      <c r="K75" s="120">
        <v>-7.5872223444661352E-2</v>
      </c>
      <c r="L75" s="122">
        <v>-9.4730653328180064E-2</v>
      </c>
      <c r="M75" s="122">
        <v>5.1212126318051387E-2</v>
      </c>
      <c r="N75" s="23">
        <v>4.3005399999999999E-2</v>
      </c>
      <c r="O75" s="125">
        <v>1.7695037817025749E-2</v>
      </c>
      <c r="P75" s="125">
        <v>5.006647137205622E-2</v>
      </c>
      <c r="Q75" s="125">
        <v>9.0438883097847311E-2</v>
      </c>
      <c r="R75" s="125">
        <v>0.10851973855987906</v>
      </c>
      <c r="T75" s="220">
        <v>43903</v>
      </c>
      <c r="U75" s="220"/>
      <c r="V75" s="221">
        <v>335</v>
      </c>
      <c r="W75" s="221"/>
    </row>
    <row r="76" spans="1:23">
      <c r="A76" s="119">
        <v>1985</v>
      </c>
      <c r="B76" s="120">
        <v>0.31235149485768948</v>
      </c>
      <c r="C76" s="120">
        <v>7.4791666666666673E-2</v>
      </c>
      <c r="D76" s="120">
        <v>0.2571248821260641</v>
      </c>
      <c r="E76" s="120">
        <v>0.23862641849916477</v>
      </c>
      <c r="F76" s="121">
        <v>15516.602025374559</v>
      </c>
      <c r="G76" s="121">
        <v>731.23055322063135</v>
      </c>
      <c r="H76" s="121">
        <v>950.2907905396761</v>
      </c>
      <c r="I76" s="121">
        <v>2685.5027480164485</v>
      </c>
      <c r="J76" s="120">
        <v>0.23755982819102281</v>
      </c>
      <c r="K76" s="120">
        <v>5.522661273162538E-2</v>
      </c>
      <c r="L76" s="122">
        <v>7.372507635852471E-2</v>
      </c>
      <c r="M76" s="122">
        <v>5.1284365102581608E-2</v>
      </c>
      <c r="N76" s="23">
        <v>3.5456399999999999E-2</v>
      </c>
      <c r="O76" s="125">
        <v>0.26741357227372364</v>
      </c>
      <c r="P76" s="125">
        <v>3.7988336994842609E-2</v>
      </c>
      <c r="Q76" s="125">
        <v>0.21407804531998087</v>
      </c>
      <c r="R76" s="125">
        <v>0.19621301147896197</v>
      </c>
      <c r="T76" s="220">
        <v>43902</v>
      </c>
      <c r="U76" s="220"/>
      <c r="V76" s="221">
        <v>367</v>
      </c>
      <c r="W76" s="221"/>
    </row>
    <row r="77" spans="1:23">
      <c r="A77" s="119">
        <v>1986</v>
      </c>
      <c r="B77" s="120">
        <v>0.18494578758046187</v>
      </c>
      <c r="C77" s="120">
        <v>5.9783333333333334E-2</v>
      </c>
      <c r="D77" s="120">
        <v>0.24284215141767618</v>
      </c>
      <c r="E77" s="120">
        <v>0.21485515309759495</v>
      </c>
      <c r="F77" s="121">
        <v>18386.332207530046</v>
      </c>
      <c r="G77" s="121">
        <v>774.94595312733804</v>
      </c>
      <c r="H77" s="121">
        <v>1181.0614505867354</v>
      </c>
      <c r="I77" s="121">
        <v>3262.496852085535</v>
      </c>
      <c r="J77" s="120">
        <v>0.12516245424712855</v>
      </c>
      <c r="K77" s="120">
        <v>-5.7896363837214304E-2</v>
      </c>
      <c r="L77" s="122">
        <v>-2.990936551713308E-2</v>
      </c>
      <c r="M77" s="122">
        <v>4.9663565599739057E-2</v>
      </c>
      <c r="N77" s="23">
        <v>1.8980500000000001E-2</v>
      </c>
      <c r="O77" s="125">
        <v>0.16287386027550266</v>
      </c>
      <c r="P77" s="125">
        <v>4.0042800949903645E-2</v>
      </c>
      <c r="Q77" s="125">
        <v>0.21969179137154837</v>
      </c>
      <c r="R77" s="125">
        <v>0.19222610550211217</v>
      </c>
      <c r="T77" s="220">
        <v>43901</v>
      </c>
      <c r="U77" s="220"/>
      <c r="V77" s="221">
        <v>302</v>
      </c>
      <c r="W77" s="221"/>
    </row>
    <row r="78" spans="1:23">
      <c r="A78" s="119">
        <v>1987</v>
      </c>
      <c r="B78" s="120">
        <v>5.8127216418218712E-2</v>
      </c>
      <c r="C78" s="120">
        <v>5.7750000000000003E-2</v>
      </c>
      <c r="D78" s="120">
        <v>-4.9605089379262279E-2</v>
      </c>
      <c r="E78" s="120">
        <v>2.289846084276681E-2</v>
      </c>
      <c r="F78" s="121">
        <v>19455.07851889441</v>
      </c>
      <c r="G78" s="121">
        <v>819.69908192044181</v>
      </c>
      <c r="H78" s="121">
        <v>1122.4747917679792</v>
      </c>
      <c r="I78" s="121">
        <v>3337.2030085026654</v>
      </c>
      <c r="J78" s="120">
        <v>3.7721641821870933E-4</v>
      </c>
      <c r="K78" s="120">
        <v>0.107732305797481</v>
      </c>
      <c r="L78" s="122">
        <v>3.5228755575451902E-2</v>
      </c>
      <c r="M78" s="122">
        <v>5.0693590437507208E-2</v>
      </c>
      <c r="N78" s="23">
        <v>3.66456E-2</v>
      </c>
      <c r="O78" s="125">
        <v>2.072223758844749E-2</v>
      </c>
      <c r="P78" s="125">
        <v>2.0358355835398356E-2</v>
      </c>
      <c r="Q78" s="125">
        <v>-8.3201712696472474E-2</v>
      </c>
      <c r="R78" s="125">
        <v>-1.3261175427005334E-2</v>
      </c>
      <c r="T78" s="220">
        <v>43900</v>
      </c>
      <c r="U78" s="220"/>
      <c r="V78" s="221">
        <v>284</v>
      </c>
      <c r="W78" s="221"/>
    </row>
    <row r="79" spans="1:23">
      <c r="A79" s="119">
        <v>1988</v>
      </c>
      <c r="B79" s="120">
        <v>0.16537192812044688</v>
      </c>
      <c r="C79" s="120">
        <v>6.6674999999999998E-2</v>
      </c>
      <c r="D79" s="120">
        <v>8.2235958434841674E-2</v>
      </c>
      <c r="E79" s="120">
        <v>0.15115070067120029</v>
      </c>
      <c r="F79" s="121">
        <v>22672.402365298665</v>
      </c>
      <c r="G79" s="121">
        <v>874.35251820748726</v>
      </c>
      <c r="H79" s="121">
        <v>1214.7825820879684</v>
      </c>
      <c r="I79" s="121">
        <v>3841.6235815198806</v>
      </c>
      <c r="J79" s="120">
        <v>9.8696928120446878E-2</v>
      </c>
      <c r="K79" s="120">
        <v>8.3135969685605202E-2</v>
      </c>
      <c r="L79" s="122">
        <v>1.4221227449246587E-2</v>
      </c>
      <c r="M79" s="122">
        <v>5.1199933578993884E-2</v>
      </c>
      <c r="N79" s="23">
        <v>4.0777400000000005E-2</v>
      </c>
      <c r="O79" s="125">
        <v>0.11971294545831501</v>
      </c>
      <c r="P79" s="125">
        <v>2.4882938465035753E-2</v>
      </c>
      <c r="Q79" s="125">
        <v>3.9834222413785758E-2</v>
      </c>
      <c r="R79" s="125">
        <v>0.10604890216793739</v>
      </c>
      <c r="T79" s="220">
        <v>43899</v>
      </c>
      <c r="U79" s="220"/>
      <c r="V79" s="221">
        <v>312</v>
      </c>
      <c r="W79" s="221"/>
    </row>
    <row r="80" spans="1:23">
      <c r="A80" s="119">
        <v>1989</v>
      </c>
      <c r="B80" s="120">
        <v>0.31475183638196724</v>
      </c>
      <c r="C80" s="120">
        <v>8.111666666666667E-2</v>
      </c>
      <c r="D80" s="120">
        <v>0.17693647159446219</v>
      </c>
      <c r="E80" s="120">
        <v>0.15789666531437313</v>
      </c>
      <c r="F80" s="121">
        <v>29808.582644967279</v>
      </c>
      <c r="G80" s="121">
        <v>945.27707997608468</v>
      </c>
      <c r="H80" s="121">
        <v>1429.7219259170236</v>
      </c>
      <c r="I80" s="121">
        <v>4448.2031344349289</v>
      </c>
      <c r="J80" s="120">
        <v>0.23363516971530057</v>
      </c>
      <c r="K80" s="120">
        <v>0.13781536478750506</v>
      </c>
      <c r="L80" s="122">
        <v>0.15685517106759411</v>
      </c>
      <c r="M80" s="122">
        <v>5.240982169336883E-2</v>
      </c>
      <c r="N80" s="23">
        <v>4.827E-2</v>
      </c>
      <c r="O80" s="125">
        <v>0.25421106812363914</v>
      </c>
      <c r="P80" s="125">
        <v>3.1334166452027246E-2</v>
      </c>
      <c r="Q80" s="125">
        <v>0.12274172836622443</v>
      </c>
      <c r="R80" s="125">
        <v>0.10457865370026154</v>
      </c>
      <c r="T80" s="220">
        <v>43896</v>
      </c>
      <c r="U80" s="220"/>
      <c r="V80" s="221">
        <v>262</v>
      </c>
      <c r="W80" s="221"/>
    </row>
    <row r="81" spans="1:23">
      <c r="A81" s="119">
        <v>1990</v>
      </c>
      <c r="B81" s="120">
        <v>-3.0644516129032118E-2</v>
      </c>
      <c r="C81" s="120">
        <v>7.4933333333333338E-2</v>
      </c>
      <c r="D81" s="120">
        <v>6.2353753335533363E-2</v>
      </c>
      <c r="E81" s="120">
        <v>6.1400628860817041E-2</v>
      </c>
      <c r="F81" s="121">
        <v>28895.113053319994</v>
      </c>
      <c r="G81" s="121">
        <v>1016.1098425022926</v>
      </c>
      <c r="H81" s="121">
        <v>1518.8704542240573</v>
      </c>
      <c r="I81" s="121">
        <v>4721.3256041898912</v>
      </c>
      <c r="J81" s="120">
        <v>-0.10557784946236545</v>
      </c>
      <c r="K81" s="120">
        <v>-9.2998269464565478E-2</v>
      </c>
      <c r="L81" s="122">
        <v>-9.2045144989849156E-2</v>
      </c>
      <c r="M81" s="122">
        <v>4.9979953137364364E-2</v>
      </c>
      <c r="N81" s="23">
        <v>5.3979600000000003E-2</v>
      </c>
      <c r="O81" s="125">
        <v>-8.0290089228512551E-2</v>
      </c>
      <c r="P81" s="125">
        <v>1.9880587189100574E-2</v>
      </c>
      <c r="Q81" s="125">
        <v>7.945270796069881E-3</v>
      </c>
      <c r="R81" s="125">
        <v>7.0409606227834765E-3</v>
      </c>
      <c r="T81" s="220">
        <v>43895</v>
      </c>
      <c r="U81" s="220"/>
      <c r="V81" s="221">
        <v>239</v>
      </c>
      <c r="W81" s="221"/>
    </row>
    <row r="82" spans="1:23">
      <c r="A82" s="119">
        <v>1991</v>
      </c>
      <c r="B82" s="120">
        <v>0.30234843134879757</v>
      </c>
      <c r="C82" s="120">
        <v>5.3749999999999999E-2</v>
      </c>
      <c r="D82" s="120">
        <v>0.15004510019517303</v>
      </c>
      <c r="E82" s="120">
        <v>0.17853487146763175</v>
      </c>
      <c r="F82" s="121">
        <v>37631.505158637461</v>
      </c>
      <c r="G82" s="121">
        <v>1070.7257465367909</v>
      </c>
      <c r="H82" s="121">
        <v>1746.769523711594</v>
      </c>
      <c r="I82" s="121">
        <v>5564.2468640907728</v>
      </c>
      <c r="J82" s="120">
        <v>0.24859843134879758</v>
      </c>
      <c r="K82" s="120">
        <v>0.15230333115362454</v>
      </c>
      <c r="L82" s="122">
        <v>0.12381355988116582</v>
      </c>
      <c r="M82" s="122">
        <v>5.13850639844049E-2</v>
      </c>
      <c r="N82" s="23">
        <v>4.2349600000000001E-2</v>
      </c>
      <c r="O82" s="125">
        <v>0.24943534429216219</v>
      </c>
      <c r="P82" s="125">
        <v>1.0937213387907319E-2</v>
      </c>
      <c r="Q82" s="125">
        <v>0.1033199419802846</v>
      </c>
      <c r="R82" s="125">
        <v>0.1306522029342474</v>
      </c>
      <c r="T82" s="220">
        <v>43894</v>
      </c>
      <c r="U82" s="220"/>
      <c r="V82" s="221">
        <v>223</v>
      </c>
      <c r="W82" s="221"/>
    </row>
    <row r="83" spans="1:23">
      <c r="A83" s="119">
        <v>1992</v>
      </c>
      <c r="B83" s="120">
        <v>7.493727972380064E-2</v>
      </c>
      <c r="C83" s="120">
        <v>3.4316666666666669E-2</v>
      </c>
      <c r="D83" s="120">
        <v>9.3616373162079422E-2</v>
      </c>
      <c r="E83" s="120">
        <v>0.12172255869896652</v>
      </c>
      <c r="F83" s="121">
        <v>40451.507787137925</v>
      </c>
      <c r="G83" s="121">
        <v>1107.4694850721119</v>
      </c>
      <c r="H83" s="121">
        <v>1910.2957512715263</v>
      </c>
      <c r="I83" s="121">
        <v>6241.5412296206023</v>
      </c>
      <c r="J83" s="120">
        <v>4.0620613057133971E-2</v>
      </c>
      <c r="K83" s="120">
        <v>-1.8679093438278782E-2</v>
      </c>
      <c r="L83" s="122">
        <v>-4.6785278975165878E-2</v>
      </c>
      <c r="M83" s="122">
        <v>5.0319857010869606E-2</v>
      </c>
      <c r="N83" s="23">
        <v>3.0288200000000001E-2</v>
      </c>
      <c r="O83" s="125">
        <v>4.3336495287241483E-2</v>
      </c>
      <c r="P83" s="125">
        <v>3.9100386344974591E-3</v>
      </c>
      <c r="Q83" s="125">
        <v>6.1466464589305492E-2</v>
      </c>
      <c r="R83" s="125">
        <v>8.8746390280861842E-2</v>
      </c>
      <c r="T83" s="220">
        <v>43893</v>
      </c>
      <c r="U83" s="220"/>
      <c r="V83" s="221">
        <v>240</v>
      </c>
      <c r="W83" s="221"/>
    </row>
    <row r="84" spans="1:23">
      <c r="A84" s="119">
        <v>1993</v>
      </c>
      <c r="B84" s="120">
        <v>9.96705147919488E-2</v>
      </c>
      <c r="C84" s="120">
        <v>2.9975000000000002E-2</v>
      </c>
      <c r="D84" s="120">
        <v>0.14210957589263107</v>
      </c>
      <c r="E84" s="120">
        <v>0.16431517219561104</v>
      </c>
      <c r="F84" s="121">
        <v>44483.33039239249</v>
      </c>
      <c r="G84" s="121">
        <v>1140.6658828871484</v>
      </c>
      <c r="H84" s="121">
        <v>2181.7670703142176</v>
      </c>
      <c r="I84" s="121">
        <v>7267.1211515317182</v>
      </c>
      <c r="J84" s="120">
        <v>6.9695514791948798E-2</v>
      </c>
      <c r="K84" s="120">
        <v>-4.2439061100682268E-2</v>
      </c>
      <c r="L84" s="122">
        <v>-6.4644657403662237E-2</v>
      </c>
      <c r="M84" s="122">
        <v>4.8975937931758473E-2</v>
      </c>
      <c r="N84" s="23">
        <v>2.95166E-2</v>
      </c>
      <c r="O84" s="125">
        <v>6.8142577586363107E-2</v>
      </c>
      <c r="P84" s="125">
        <v>4.4525751211788034E-4</v>
      </c>
      <c r="Q84" s="125">
        <v>0.10936489600326116</v>
      </c>
      <c r="R84" s="125">
        <v>0.1309338501152979</v>
      </c>
      <c r="T84" s="220">
        <v>43892</v>
      </c>
      <c r="U84" s="220"/>
      <c r="V84" s="221">
        <v>247</v>
      </c>
      <c r="W84" s="221"/>
    </row>
    <row r="85" spans="1:23">
      <c r="A85" s="119">
        <v>1994</v>
      </c>
      <c r="B85" s="120">
        <v>1.3259206774573897E-2</v>
      </c>
      <c r="C85" s="120">
        <v>4.2466666666666673E-2</v>
      </c>
      <c r="D85" s="120">
        <v>-8.0366555509985921E-2</v>
      </c>
      <c r="E85" s="120">
        <v>-1.3192033475710699E-2</v>
      </c>
      <c r="F85" s="121">
        <v>45073.144068086905</v>
      </c>
      <c r="G85" s="121">
        <v>1189.106160713756</v>
      </c>
      <c r="H85" s="121">
        <v>2006.4259659479505</v>
      </c>
      <c r="I85" s="121">
        <v>7171.2530460286662</v>
      </c>
      <c r="J85" s="120">
        <v>-2.9207459892092776E-2</v>
      </c>
      <c r="K85" s="120">
        <v>9.3625762284559821E-2</v>
      </c>
      <c r="L85" s="122">
        <v>2.6451240250284596E-2</v>
      </c>
      <c r="M85" s="122">
        <v>4.9718636171719899E-2</v>
      </c>
      <c r="N85" s="23">
        <v>2.6074400000000001E-2</v>
      </c>
      <c r="O85" s="125">
        <v>-1.2489536066221052E-2</v>
      </c>
      <c r="P85" s="125">
        <v>1.5975709623655687E-2</v>
      </c>
      <c r="Q85" s="125">
        <v>-0.10373609897097702</v>
      </c>
      <c r="R85" s="125">
        <v>-3.8268602623465431E-2</v>
      </c>
      <c r="T85" s="220">
        <v>43889</v>
      </c>
      <c r="U85" s="220"/>
      <c r="V85" s="221">
        <v>252</v>
      </c>
      <c r="W85" s="221"/>
    </row>
    <row r="86" spans="1:23">
      <c r="A86" s="119">
        <v>1995</v>
      </c>
      <c r="B86" s="120">
        <v>0.37195198902606308</v>
      </c>
      <c r="C86" s="120">
        <v>5.4900000000000004E-2</v>
      </c>
      <c r="D86" s="120">
        <v>0.23480780112538907</v>
      </c>
      <c r="E86" s="120">
        <v>0.20156218170640219</v>
      </c>
      <c r="F86" s="121">
        <v>61838.189655870119</v>
      </c>
      <c r="G86" s="121">
        <v>1254.3880889369411</v>
      </c>
      <c r="H86" s="121">
        <v>2477.5504351330737</v>
      </c>
      <c r="I86" s="121">
        <v>8616.7064555548859</v>
      </c>
      <c r="J86" s="120">
        <v>0.31705198902606307</v>
      </c>
      <c r="K86" s="120">
        <v>0.13714418790067401</v>
      </c>
      <c r="L86" s="122">
        <v>0.17038980731966089</v>
      </c>
      <c r="M86" s="122">
        <v>5.0791451119413633E-2</v>
      </c>
      <c r="N86" s="23">
        <v>2.8054199999999998E-2</v>
      </c>
      <c r="O86" s="125">
        <v>0.33451328638710209</v>
      </c>
      <c r="P86" s="125">
        <v>2.6113214653468608E-2</v>
      </c>
      <c r="Q86" s="125">
        <v>0.20111157672950442</v>
      </c>
      <c r="R86" s="125">
        <v>0.16877318501923555</v>
      </c>
      <c r="T86" s="220">
        <v>43888</v>
      </c>
      <c r="U86" s="220"/>
      <c r="V86" s="221">
        <v>233</v>
      </c>
      <c r="W86" s="221"/>
    </row>
    <row r="87" spans="1:23">
      <c r="A87" s="119">
        <v>1996</v>
      </c>
      <c r="B87" s="120">
        <v>0.22680966018865789</v>
      </c>
      <c r="C87" s="120">
        <v>5.0058333333333337E-2</v>
      </c>
      <c r="D87" s="120">
        <v>1.428607793401844E-2</v>
      </c>
      <c r="E87" s="120">
        <v>4.79259941944115E-2</v>
      </c>
      <c r="F87" s="121">
        <v>75863.688438399797</v>
      </c>
      <c r="G87" s="121">
        <v>1317.1806660223094</v>
      </c>
      <c r="H87" s="121">
        <v>2512.9449137348461</v>
      </c>
      <c r="I87" s="121">
        <v>9029.6706791187571</v>
      </c>
      <c r="J87" s="120">
        <v>0.17675132685532455</v>
      </c>
      <c r="K87" s="120">
        <v>0.21252358225463946</v>
      </c>
      <c r="L87" s="122">
        <v>0.17888366599424638</v>
      </c>
      <c r="M87" s="122">
        <v>5.304503967737495E-2</v>
      </c>
      <c r="N87" s="23">
        <v>2.9312000000000001E-2</v>
      </c>
      <c r="O87" s="125">
        <v>0.19187346517737836</v>
      </c>
      <c r="P87" s="125">
        <v>2.0155534311592005E-2</v>
      </c>
      <c r="Q87" s="125">
        <v>-1.459802476409644E-2</v>
      </c>
      <c r="R87" s="125">
        <v>1.8083918378889452E-2</v>
      </c>
      <c r="T87" s="220">
        <v>43887</v>
      </c>
      <c r="U87" s="220"/>
      <c r="V87" s="221">
        <v>218</v>
      </c>
      <c r="W87" s="221"/>
    </row>
    <row r="88" spans="1:23">
      <c r="A88" s="119">
        <v>1997</v>
      </c>
      <c r="B88" s="120">
        <v>0.33103653103653097</v>
      </c>
      <c r="C88" s="120">
        <v>5.0608333333333332E-2</v>
      </c>
      <c r="D88" s="120">
        <v>9.939130272977531E-2</v>
      </c>
      <c r="E88" s="120">
        <v>0.11834887244426365</v>
      </c>
      <c r="F88" s="121">
        <v>100977.34069068384</v>
      </c>
      <c r="G88" s="121">
        <v>1383.8409842285885</v>
      </c>
      <c r="H88" s="121">
        <v>2762.7097823991153</v>
      </c>
      <c r="I88" s="121">
        <v>10098.322022535491</v>
      </c>
      <c r="J88" s="120">
        <v>0.28042819770319766</v>
      </c>
      <c r="K88" s="120">
        <v>0.23164522830675566</v>
      </c>
      <c r="L88" s="122">
        <v>0.21268765859226732</v>
      </c>
      <c r="M88" s="122">
        <v>5.5315584903303572E-2</v>
      </c>
      <c r="N88" s="23">
        <v>2.3376899999999999E-2</v>
      </c>
      <c r="O88" s="125">
        <v>0.30063179170502186</v>
      </c>
      <c r="P88" s="125">
        <v>2.660938832343529E-2</v>
      </c>
      <c r="Q88" s="125">
        <v>7.4278013046586544E-2</v>
      </c>
      <c r="R88" s="125">
        <v>9.2802536821247061E-2</v>
      </c>
      <c r="T88" s="220">
        <v>43886</v>
      </c>
      <c r="U88" s="220"/>
      <c r="V88" s="221">
        <v>214</v>
      </c>
      <c r="W88" s="221"/>
    </row>
    <row r="89" spans="1:23">
      <c r="A89" s="119">
        <v>1998</v>
      </c>
      <c r="B89" s="120">
        <v>0.28337953278443584</v>
      </c>
      <c r="C89" s="120">
        <v>4.7766666666666666E-2</v>
      </c>
      <c r="D89" s="120">
        <v>0.14921431922606215</v>
      </c>
      <c r="E89" s="120">
        <v>7.9454561327070808E-2</v>
      </c>
      <c r="F89" s="121">
        <v>129592.25231742462</v>
      </c>
      <c r="G89" s="121">
        <v>1449.9424552419075</v>
      </c>
      <c r="H89" s="121">
        <v>3174.9456417989818</v>
      </c>
      <c r="I89" s="121">
        <v>10900.679768975546</v>
      </c>
      <c r="J89" s="120">
        <v>0.23561286611776916</v>
      </c>
      <c r="K89" s="120">
        <v>0.13416521355837369</v>
      </c>
      <c r="L89" s="122">
        <v>0.20392497145736505</v>
      </c>
      <c r="M89" s="122">
        <v>5.6306048135548625E-2</v>
      </c>
      <c r="N89" s="23">
        <v>1.5522800000000002E-2</v>
      </c>
      <c r="O89" s="125">
        <v>0.26376240177417554</v>
      </c>
      <c r="P89" s="125">
        <v>3.1751002209567947E-2</v>
      </c>
      <c r="Q89" s="125">
        <v>0.13164797405441031</v>
      </c>
      <c r="R89" s="125">
        <v>6.2954530737341141E-2</v>
      </c>
      <c r="T89" s="220">
        <v>43885</v>
      </c>
      <c r="U89" s="220"/>
      <c r="V89" s="221">
        <v>208</v>
      </c>
      <c r="W89" s="221"/>
    </row>
    <row r="90" spans="1:23">
      <c r="A90" s="119">
        <v>1999</v>
      </c>
      <c r="B90" s="120">
        <v>0.20885350992084475</v>
      </c>
      <c r="C90" s="120">
        <v>4.6383333333333339E-2</v>
      </c>
      <c r="D90" s="120">
        <v>-8.2542147962685761E-2</v>
      </c>
      <c r="E90" s="120">
        <v>8.4316347548218651E-3</v>
      </c>
      <c r="F90" s="121">
        <v>156658.0490724665</v>
      </c>
      <c r="G90" s="121">
        <v>1517.1956194575448</v>
      </c>
      <c r="H90" s="121">
        <v>2912.8788088601259</v>
      </c>
      <c r="I90" s="121">
        <v>10992.590319366824</v>
      </c>
      <c r="J90" s="120">
        <v>0.16247017658751142</v>
      </c>
      <c r="K90" s="120">
        <v>0.2913956578835305</v>
      </c>
      <c r="L90" s="122">
        <v>0.20042187516602289</v>
      </c>
      <c r="M90" s="122">
        <v>5.9634694818320177E-2</v>
      </c>
      <c r="N90" s="23">
        <v>2.1880299999999998E-2</v>
      </c>
      <c r="O90" s="125">
        <v>0.18296977632394396</v>
      </c>
      <c r="P90" s="125">
        <v>2.3978379202860944E-2</v>
      </c>
      <c r="Q90" s="125">
        <v>-0.1021865750447345</v>
      </c>
      <c r="R90" s="125">
        <v>-1.3160705070034306E-2</v>
      </c>
      <c r="T90" s="220">
        <v>43882</v>
      </c>
      <c r="U90" s="220"/>
      <c r="V90" s="221">
        <v>202</v>
      </c>
      <c r="W90" s="221"/>
    </row>
    <row r="91" spans="1:23">
      <c r="A91" s="119">
        <v>2000</v>
      </c>
      <c r="B91" s="120">
        <v>-9.0318189552492781E-2</v>
      </c>
      <c r="C91" s="120">
        <v>5.8166666666666665E-2</v>
      </c>
      <c r="D91" s="120">
        <v>0.16655267125397488</v>
      </c>
      <c r="E91" s="120">
        <v>9.3296855210372037E-2</v>
      </c>
      <c r="F91" s="121">
        <v>142508.97770141574</v>
      </c>
      <c r="G91" s="121">
        <v>1605.4458313226587</v>
      </c>
      <c r="H91" s="121">
        <v>3398.0265555148762</v>
      </c>
      <c r="I91" s="121">
        <v>12018.164426779729</v>
      </c>
      <c r="J91" s="120">
        <v>-0.14848485621915944</v>
      </c>
      <c r="K91" s="120">
        <v>-0.25687086080646765</v>
      </c>
      <c r="L91" s="122">
        <v>-0.18361504476286483</v>
      </c>
      <c r="M91" s="122">
        <v>5.5111895842923087E-2</v>
      </c>
      <c r="N91" s="23">
        <v>3.3768600000000003E-2</v>
      </c>
      <c r="O91" s="125">
        <v>-0.12003342871169886</v>
      </c>
      <c r="P91" s="125">
        <v>2.3601090869529884E-2</v>
      </c>
      <c r="Q91" s="125">
        <v>0.12844660909024985</v>
      </c>
      <c r="R91" s="125">
        <v>5.7583733158825146E-2</v>
      </c>
      <c r="T91" s="220">
        <v>43881</v>
      </c>
      <c r="U91" s="220"/>
      <c r="V91" s="221">
        <v>193</v>
      </c>
      <c r="W91" s="221"/>
    </row>
    <row r="92" spans="1:23">
      <c r="A92" s="119">
        <v>2001</v>
      </c>
      <c r="B92" s="120">
        <v>-0.11849759142000185</v>
      </c>
      <c r="C92" s="120">
        <v>3.3883333333333335E-2</v>
      </c>
      <c r="D92" s="120">
        <v>5.5721811892492555E-2</v>
      </c>
      <c r="E92" s="120">
        <v>7.8191507542878236E-2</v>
      </c>
      <c r="F92" s="121">
        <v>125622.00708807123</v>
      </c>
      <c r="G92" s="121">
        <v>1659.8436875739746</v>
      </c>
      <c r="H92" s="121">
        <v>3587.3707520469702</v>
      </c>
      <c r="I92" s="121">
        <v>12957.882821207828</v>
      </c>
      <c r="J92" s="120">
        <v>-0.1523809247533352</v>
      </c>
      <c r="K92" s="120">
        <v>-0.17421940331249441</v>
      </c>
      <c r="L92" s="122">
        <v>-0.19668909896288009</v>
      </c>
      <c r="M92" s="122">
        <v>5.1665345512908356E-2</v>
      </c>
      <c r="N92" s="23">
        <v>2.8261699999999997E-2</v>
      </c>
      <c r="O92" s="125">
        <v>-0.14272562268924527</v>
      </c>
      <c r="P92" s="125">
        <v>5.467123139307084E-3</v>
      </c>
      <c r="Q92" s="125">
        <v>2.6705372661932625E-2</v>
      </c>
      <c r="R92" s="125">
        <v>4.8557490318737129E-2</v>
      </c>
      <c r="T92" s="220">
        <v>43880</v>
      </c>
      <c r="U92" s="220"/>
      <c r="V92" s="221">
        <v>189</v>
      </c>
      <c r="W92" s="221"/>
    </row>
    <row r="93" spans="1:23">
      <c r="A93" s="119">
        <v>2002</v>
      </c>
      <c r="B93" s="120">
        <v>-0.21966047957912699</v>
      </c>
      <c r="C93" s="120">
        <v>1.6025000000000001E-2</v>
      </c>
      <c r="D93" s="120">
        <v>0.15116400378109285</v>
      </c>
      <c r="E93" s="120">
        <v>0.12177867693975485</v>
      </c>
      <c r="F93" s="121">
        <v>98027.816765413008</v>
      </c>
      <c r="G93" s="121">
        <v>1686.4426826673475</v>
      </c>
      <c r="H93" s="121">
        <v>4129.6520779735802</v>
      </c>
      <c r="I93" s="121">
        <v>14535.876647114896</v>
      </c>
      <c r="J93" s="120">
        <v>-0.235685479579127</v>
      </c>
      <c r="K93" s="120">
        <v>-0.37082448336021984</v>
      </c>
      <c r="L93" s="122">
        <v>-0.34143915651888185</v>
      </c>
      <c r="M93" s="122">
        <v>4.5325449773477855E-2</v>
      </c>
      <c r="N93" s="23">
        <v>1.5860300000000001E-2</v>
      </c>
      <c r="O93" s="125">
        <v>-0.23184366942888401</v>
      </c>
      <c r="P93" s="125">
        <v>1.621285918940174E-4</v>
      </c>
      <c r="Q93" s="125">
        <v>0.13319125058937042</v>
      </c>
      <c r="R93" s="125">
        <v>0.1042647074009635</v>
      </c>
      <c r="T93" s="220">
        <v>43879</v>
      </c>
      <c r="U93" s="220"/>
      <c r="V93" s="221">
        <v>198</v>
      </c>
      <c r="W93" s="221"/>
    </row>
    <row r="94" spans="1:23">
      <c r="A94" s="119">
        <v>2003</v>
      </c>
      <c r="B94" s="120">
        <v>0.28355800050010233</v>
      </c>
      <c r="C94" s="120">
        <v>1.0108333333333332E-2</v>
      </c>
      <c r="D94" s="120">
        <v>3.7531858817758529E-3</v>
      </c>
      <c r="E94" s="120">
        <v>0.13532012096857571</v>
      </c>
      <c r="F94" s="121">
        <v>125824.38848080393</v>
      </c>
      <c r="G94" s="121">
        <v>1703.4898074513101</v>
      </c>
      <c r="H94" s="121">
        <v>4145.1514298492766</v>
      </c>
      <c r="I94" s="121">
        <v>16502.873233386777</v>
      </c>
      <c r="J94" s="120">
        <v>0.27344966716676899</v>
      </c>
      <c r="K94" s="120">
        <v>0.27980481461832646</v>
      </c>
      <c r="L94" s="122">
        <v>0.14823787953152662</v>
      </c>
      <c r="M94" s="122">
        <v>4.8237796117156506E-2</v>
      </c>
      <c r="N94" s="23">
        <v>2.2700900000000003E-2</v>
      </c>
      <c r="O94" s="125">
        <v>0.25506685336847013</v>
      </c>
      <c r="P94" s="125">
        <v>-1.2313049364351403E-2</v>
      </c>
      <c r="Q94" s="125">
        <v>-1.8527131557451559E-2</v>
      </c>
      <c r="R94" s="125">
        <v>0.11011941122626934</v>
      </c>
      <c r="T94" s="220">
        <v>43878</v>
      </c>
      <c r="U94" s="220"/>
      <c r="V94" s="221">
        <v>196</v>
      </c>
      <c r="W94" s="221"/>
    </row>
    <row r="95" spans="1:23">
      <c r="A95" s="119">
        <v>2004</v>
      </c>
      <c r="B95" s="120">
        <v>0.10742775944096193</v>
      </c>
      <c r="C95" s="120">
        <v>1.3716666666666665E-2</v>
      </c>
      <c r="D95" s="120">
        <v>4.490683702274547E-2</v>
      </c>
      <c r="E95" s="120">
        <v>9.888628408721839E-2</v>
      </c>
      <c r="F95" s="121">
        <v>139341.42061832585</v>
      </c>
      <c r="G95" s="121">
        <v>1726.8560093101837</v>
      </c>
      <c r="H95" s="121">
        <v>4331.2970695441181</v>
      </c>
      <c r="I95" s="121">
        <v>18134.781044198815</v>
      </c>
      <c r="J95" s="120">
        <v>9.3711092774295263E-2</v>
      </c>
      <c r="K95" s="120">
        <v>6.2520922418216468E-2</v>
      </c>
      <c r="L95" s="122">
        <v>8.5414753537435412E-3</v>
      </c>
      <c r="M95" s="122">
        <v>4.842299846885445E-2</v>
      </c>
      <c r="N95" s="23">
        <v>2.6772399999999998E-2</v>
      </c>
      <c r="O95" s="125">
        <v>7.8552325170565318E-2</v>
      </c>
      <c r="P95" s="125">
        <v>-1.2715313864429367E-2</v>
      </c>
      <c r="Q95" s="125">
        <v>1.766159376970533E-2</v>
      </c>
      <c r="R95" s="125">
        <v>7.0233563043979874E-2</v>
      </c>
      <c r="T95" s="220">
        <v>43875</v>
      </c>
      <c r="U95" s="220"/>
      <c r="V95" s="221">
        <v>196</v>
      </c>
      <c r="W95" s="221"/>
    </row>
    <row r="96" spans="1:23">
      <c r="A96" s="119">
        <v>2005</v>
      </c>
      <c r="B96" s="120">
        <v>4.8344775232688535E-2</v>
      </c>
      <c r="C96" s="120">
        <v>3.1466666666666664E-2</v>
      </c>
      <c r="D96" s="120">
        <v>2.8675329597779506E-2</v>
      </c>
      <c r="E96" s="120">
        <v>4.9175379871695298E-2</v>
      </c>
      <c r="F96" s="121">
        <v>146077.8502787223</v>
      </c>
      <c r="G96" s="121">
        <v>1781.1944117364776</v>
      </c>
      <c r="H96" s="121">
        <v>4455.4984405991927</v>
      </c>
      <c r="I96" s="121">
        <v>19026.565790937311</v>
      </c>
      <c r="J96" s="120">
        <v>1.6878108566021871E-2</v>
      </c>
      <c r="K96" s="120">
        <v>1.9669445634909029E-2</v>
      </c>
      <c r="L96" s="122">
        <v>-8.3060463900676285E-4</v>
      </c>
      <c r="M96" s="122">
        <v>4.8042189402255131E-2</v>
      </c>
      <c r="N96" s="23">
        <v>3.3927499999999999E-2</v>
      </c>
      <c r="O96" s="125">
        <v>1.3944183932324661E-2</v>
      </c>
      <c r="P96" s="125">
        <v>-2.3800830651405924E-3</v>
      </c>
      <c r="Q96" s="125">
        <v>-5.0798246513612533E-3</v>
      </c>
      <c r="R96" s="125">
        <v>1.4747532947615216E-2</v>
      </c>
      <c r="T96" s="220">
        <v>43874</v>
      </c>
      <c r="U96" s="220"/>
      <c r="V96" s="221">
        <v>203</v>
      </c>
      <c r="W96" s="221"/>
    </row>
    <row r="97" spans="1:23">
      <c r="A97" s="119">
        <v>2006</v>
      </c>
      <c r="B97" s="120">
        <v>0.15612557979315703</v>
      </c>
      <c r="C97" s="120">
        <v>4.7266666666666665E-2</v>
      </c>
      <c r="D97" s="120">
        <v>1.9610012417568386E-2</v>
      </c>
      <c r="E97" s="120">
        <v>7.048397662889147E-2</v>
      </c>
      <c r="F97" s="121">
        <v>168884.33934842583</v>
      </c>
      <c r="G97" s="121">
        <v>1865.385534264555</v>
      </c>
      <c r="H97" s="121">
        <v>4542.8708203458</v>
      </c>
      <c r="I97" s="121">
        <v>20367.633809473802</v>
      </c>
      <c r="J97" s="120">
        <v>0.10885891312649036</v>
      </c>
      <c r="K97" s="120">
        <v>0.13651556737558865</v>
      </c>
      <c r="L97" s="122">
        <v>8.5641603164265556E-2</v>
      </c>
      <c r="M97" s="122">
        <v>4.9149036004805913E-2</v>
      </c>
      <c r="N97" s="23">
        <v>3.2259400000000001E-2</v>
      </c>
      <c r="O97" s="125">
        <v>0.11999520643082251</v>
      </c>
      <c r="P97" s="125">
        <v>1.4538270774445472E-2</v>
      </c>
      <c r="Q97" s="125">
        <v>-1.225407836676673E-2</v>
      </c>
      <c r="R97" s="125">
        <v>3.7030010701662119E-2</v>
      </c>
      <c r="T97" s="220">
        <v>43873</v>
      </c>
      <c r="U97" s="220"/>
      <c r="V97" s="221">
        <v>203</v>
      </c>
      <c r="W97" s="221"/>
    </row>
    <row r="98" spans="1:23">
      <c r="A98" s="119">
        <v>2007</v>
      </c>
      <c r="B98" s="120">
        <v>5.4847352464217694E-2</v>
      </c>
      <c r="C98" s="120">
        <v>4.3533333333333334E-2</v>
      </c>
      <c r="D98" s="120">
        <v>0.10209921930012807</v>
      </c>
      <c r="E98" s="120">
        <v>3.1503861528055586E-2</v>
      </c>
      <c r="F98" s="121">
        <v>178147.19823435548</v>
      </c>
      <c r="G98" s="121">
        <v>1946.5919845228721</v>
      </c>
      <c r="H98" s="121">
        <v>5006.6943844844382</v>
      </c>
      <c r="I98" s="121">
        <v>21009.292924661608</v>
      </c>
      <c r="J98" s="120">
        <v>1.131401913088436E-2</v>
      </c>
      <c r="K98" s="120">
        <v>-4.7251866835910372E-2</v>
      </c>
      <c r="L98" s="122">
        <v>2.3343490936162108E-2</v>
      </c>
      <c r="M98" s="122">
        <v>4.7948712238125024E-2</v>
      </c>
      <c r="N98" s="23">
        <v>2.8526699999999999E-2</v>
      </c>
      <c r="O98" s="125">
        <v>2.5590636066343819E-2</v>
      </c>
      <c r="P98" s="125">
        <v>1.4590416887897417E-2</v>
      </c>
      <c r="Q98" s="125">
        <v>7.1531948854733685E-2</v>
      </c>
      <c r="R98" s="125">
        <v>2.8945884711166769E-3</v>
      </c>
      <c r="T98" s="220">
        <v>43872</v>
      </c>
      <c r="U98" s="220"/>
      <c r="V98" s="221">
        <v>209</v>
      </c>
      <c r="W98" s="221"/>
    </row>
    <row r="99" spans="1:23">
      <c r="A99" s="119">
        <v>2008</v>
      </c>
      <c r="B99" s="120">
        <v>-0.36552344111798191</v>
      </c>
      <c r="C99" s="120">
        <v>1.3650000000000001E-2</v>
      </c>
      <c r="D99" s="120">
        <v>0.20101279926977011</v>
      </c>
      <c r="E99" s="120">
        <v>-5.0657146287488741E-2</v>
      </c>
      <c r="F99" s="121">
        <v>113030.22131020659</v>
      </c>
      <c r="G99" s="121">
        <v>1973.1629651116091</v>
      </c>
      <c r="H99" s="121">
        <v>6013.1040377978934</v>
      </c>
      <c r="I99" s="121">
        <v>19945.022099580321</v>
      </c>
      <c r="J99" s="120">
        <v>-0.3791734411179819</v>
      </c>
      <c r="K99" s="120">
        <v>-0.56653624038775208</v>
      </c>
      <c r="L99" s="122">
        <v>-0.31486629483049317</v>
      </c>
      <c r="M99" s="122">
        <v>3.8795868868689798E-2</v>
      </c>
      <c r="N99" s="23">
        <v>3.8391000000000002E-2</v>
      </c>
      <c r="O99" s="125">
        <v>-0.38898106890177397</v>
      </c>
      <c r="P99" s="125">
        <v>-2.3826285089142862E-2</v>
      </c>
      <c r="Q99" s="125">
        <v>0.15660940750619945</v>
      </c>
      <c r="R99" s="125">
        <v>-8.5755891843716681E-2</v>
      </c>
      <c r="T99" s="220">
        <v>43871</v>
      </c>
      <c r="U99" s="220"/>
      <c r="V99" s="221">
        <v>216</v>
      </c>
      <c r="W99" s="221"/>
    </row>
    <row r="100" spans="1:23">
      <c r="A100" s="119">
        <v>2009</v>
      </c>
      <c r="B100" s="120">
        <v>0.25935233877663982</v>
      </c>
      <c r="C100" s="120">
        <v>1.5E-3</v>
      </c>
      <c r="D100" s="120">
        <v>-0.11116695313259162</v>
      </c>
      <c r="E100" s="120">
        <v>0.23329502491661896</v>
      </c>
      <c r="F100" s="121">
        <v>142344.87355944986</v>
      </c>
      <c r="G100" s="121">
        <v>1976.1227095592767</v>
      </c>
      <c r="H100" s="121">
        <v>5344.6455830466175</v>
      </c>
      <c r="I100" s="121">
        <v>24598.096527264428</v>
      </c>
      <c r="J100" s="120">
        <v>0.25785233877663982</v>
      </c>
      <c r="K100" s="120">
        <v>0.37051929190923144</v>
      </c>
      <c r="L100" s="122">
        <v>2.6057313860020859E-2</v>
      </c>
      <c r="M100" s="122">
        <v>4.2868506133348472E-2</v>
      </c>
      <c r="N100" s="23">
        <v>-3.5554999999999996E-3</v>
      </c>
      <c r="O100" s="125">
        <v>0.26384594302707276</v>
      </c>
      <c r="P100" s="125">
        <v>5.0735389678000509E-3</v>
      </c>
      <c r="Q100" s="125">
        <v>-0.10799543088711072</v>
      </c>
      <c r="R100" s="125">
        <v>0.23769565180661756</v>
      </c>
      <c r="T100" s="220">
        <v>43868</v>
      </c>
      <c r="U100" s="220"/>
      <c r="V100" s="221">
        <v>217</v>
      </c>
      <c r="W100" s="221"/>
    </row>
    <row r="101" spans="1:23">
      <c r="A101" s="119">
        <v>2010</v>
      </c>
      <c r="B101" s="120">
        <v>0.14821092278719414</v>
      </c>
      <c r="C101" s="120">
        <v>1.3666666666666666E-3</v>
      </c>
      <c r="D101" s="120">
        <v>8.4629338803557719E-2</v>
      </c>
      <c r="E101" s="120">
        <v>8.3478423659066131E-2</v>
      </c>
      <c r="F101" s="121">
        <v>163441.93862372241</v>
      </c>
      <c r="G101" s="121">
        <v>1978.8234105956744</v>
      </c>
      <c r="H101" s="121">
        <v>5796.9594048792078</v>
      </c>
      <c r="I101" s="121">
        <v>26651.506850374015</v>
      </c>
      <c r="J101" s="120">
        <v>0.14684425612052748</v>
      </c>
      <c r="K101" s="120">
        <v>6.3581583983636419E-2</v>
      </c>
      <c r="L101" s="122">
        <v>6.4732499128128007E-2</v>
      </c>
      <c r="M101" s="122">
        <v>4.3108516433475463E-2</v>
      </c>
      <c r="N101" s="23">
        <v>1.6400399999999999E-2</v>
      </c>
      <c r="O101" s="125">
        <v>0.12968365890764533</v>
      </c>
      <c r="P101" s="125">
        <v>-1.4791152515616135E-2</v>
      </c>
      <c r="Q101" s="125">
        <v>6.7128012546588733E-2</v>
      </c>
      <c r="R101" s="125">
        <v>6.5995668300667942E-2</v>
      </c>
      <c r="T101" s="220">
        <v>43867</v>
      </c>
      <c r="U101" s="220"/>
      <c r="V101" s="221">
        <v>213</v>
      </c>
      <c r="W101" s="221"/>
    </row>
    <row r="102" spans="1:23">
      <c r="A102" s="119">
        <v>2011</v>
      </c>
      <c r="B102" s="120">
        <v>2.09837473362805E-2</v>
      </c>
      <c r="C102" s="120">
        <v>5.2499999999999997E-4</v>
      </c>
      <c r="D102" s="120">
        <v>0.16035334999461354</v>
      </c>
      <c r="E102" s="120">
        <v>0.12584514401372299</v>
      </c>
      <c r="F102" s="121">
        <v>166871.56296795449</v>
      </c>
      <c r="G102" s="121">
        <v>1979.8622928862374</v>
      </c>
      <c r="H102" s="121">
        <v>6726.5212652343698</v>
      </c>
      <c r="I102" s="121">
        <v>30005.469568142056</v>
      </c>
      <c r="J102" s="120">
        <v>2.0458747336280499E-2</v>
      </c>
      <c r="K102" s="120">
        <v>-0.13936960265833304</v>
      </c>
      <c r="L102" s="122">
        <v>-0.10486139667744249</v>
      </c>
      <c r="M102" s="122">
        <v>4.0970429004248521E-2</v>
      </c>
      <c r="N102" s="23">
        <v>3.1568399999999996E-2</v>
      </c>
      <c r="O102" s="125">
        <v>-1.026073759502466E-2</v>
      </c>
      <c r="P102" s="125">
        <v>-3.0093399526391007E-2</v>
      </c>
      <c r="Q102" s="125">
        <v>0.12484383003067312</v>
      </c>
      <c r="R102" s="125">
        <v>9.1391655670843397E-2</v>
      </c>
      <c r="T102" s="220">
        <v>43866</v>
      </c>
      <c r="U102" s="220"/>
      <c r="V102" s="221">
        <v>214</v>
      </c>
      <c r="W102" s="221"/>
    </row>
    <row r="103" spans="1:23">
      <c r="A103" s="119">
        <v>2012</v>
      </c>
      <c r="B103" s="120">
        <v>0.15890585241730293</v>
      </c>
      <c r="C103" s="120">
        <v>8.5833333333333334E-4</v>
      </c>
      <c r="D103" s="120">
        <v>2.971571978018946E-2</v>
      </c>
      <c r="E103" s="120">
        <v>0.10124677875843502</v>
      </c>
      <c r="F103" s="121">
        <v>193388.43092558492</v>
      </c>
      <c r="G103" s="121">
        <v>1981.5616746876315</v>
      </c>
      <c r="H103" s="121">
        <v>6926.4046862475598</v>
      </c>
      <c r="I103" s="121">
        <v>33043.42670705069</v>
      </c>
      <c r="J103" s="120">
        <v>0.15804751908396961</v>
      </c>
      <c r="K103" s="120">
        <v>0.12919013263711346</v>
      </c>
      <c r="L103" s="122">
        <v>5.765907365886791E-2</v>
      </c>
      <c r="M103" s="122">
        <v>4.1988275684727405E-2</v>
      </c>
      <c r="N103" s="23">
        <v>2.0693400000000001E-2</v>
      </c>
      <c r="O103" s="125">
        <v>0.1354103518424854</v>
      </c>
      <c r="P103" s="125">
        <v>-1.9432933206648184E-2</v>
      </c>
      <c r="Q103" s="125">
        <v>8.8394024887290534E-3</v>
      </c>
      <c r="R103" s="125">
        <v>7.8920250447818141E-2</v>
      </c>
      <c r="T103" s="220">
        <v>43865</v>
      </c>
      <c r="U103" s="220"/>
      <c r="V103" s="221">
        <v>219</v>
      </c>
      <c r="W103" s="221"/>
    </row>
    <row r="104" spans="1:23">
      <c r="A104" s="119">
        <v>2013</v>
      </c>
      <c r="B104" s="120">
        <v>0.32145085858125483</v>
      </c>
      <c r="C104" s="120">
        <v>5.8333333333333338E-4</v>
      </c>
      <c r="D104" s="120">
        <v>-9.104568794347262E-2</v>
      </c>
      <c r="E104" s="120">
        <v>-1.0559012069494618E-2</v>
      </c>
      <c r="F104" s="121">
        <v>255553.30808629587</v>
      </c>
      <c r="G104" s="121">
        <v>1982.7175856645326</v>
      </c>
      <c r="H104" s="121">
        <v>6295.7854066132577</v>
      </c>
      <c r="I104" s="121">
        <v>32694.520765633482</v>
      </c>
      <c r="J104" s="120">
        <v>0.3208675252479215</v>
      </c>
      <c r="K104" s="120">
        <v>0.41249654652472745</v>
      </c>
      <c r="L104" s="122">
        <v>0.33200987065074944</v>
      </c>
      <c r="M104" s="122">
        <v>4.6176809418723153E-2</v>
      </c>
      <c r="N104" s="23">
        <v>1.4648300000000001E-2</v>
      </c>
      <c r="O104" s="125">
        <v>0.30237330371642557</v>
      </c>
      <c r="P104" s="125">
        <v>-1.3861913203487952E-2</v>
      </c>
      <c r="Q104" s="125">
        <v>-0.10416810233011042</v>
      </c>
      <c r="R104" s="125">
        <v>-2.4843398515026927E-2</v>
      </c>
      <c r="T104" s="220">
        <v>43864</v>
      </c>
      <c r="U104" s="220"/>
      <c r="V104" s="221">
        <v>226</v>
      </c>
      <c r="W104" s="221"/>
    </row>
    <row r="105" spans="1:23">
      <c r="A105" s="119">
        <v>2014</v>
      </c>
      <c r="B105" s="120">
        <v>0.13524421649462237</v>
      </c>
      <c r="C105" s="120">
        <v>3.2499999999999999E-4</v>
      </c>
      <c r="D105" s="120">
        <v>0.10746180452004755</v>
      </c>
      <c r="E105" s="120">
        <v>0.10384907822030469</v>
      </c>
      <c r="F105" s="121">
        <v>290115.4150110358</v>
      </c>
      <c r="G105" s="121">
        <v>1983.3619688798735</v>
      </c>
      <c r="H105" s="121">
        <v>6972.3418672788994</v>
      </c>
      <c r="I105" s="121">
        <v>36089.816609999129</v>
      </c>
      <c r="J105" s="120">
        <v>0.13491921649462238</v>
      </c>
      <c r="K105" s="120">
        <v>2.7782411974574817E-2</v>
      </c>
      <c r="L105" s="122">
        <v>3.1395138274317683E-2</v>
      </c>
      <c r="M105" s="122">
        <v>4.5975029375833421E-2</v>
      </c>
      <c r="N105" s="23">
        <v>1.6222199999999999E-2</v>
      </c>
      <c r="O105" s="125">
        <v>0.11712203934791265</v>
      </c>
      <c r="P105" s="125">
        <v>-1.5643429163425204E-2</v>
      </c>
      <c r="Q105" s="125">
        <v>8.978312471430705E-2</v>
      </c>
      <c r="R105" s="125">
        <v>8.6228069235551708E-2</v>
      </c>
      <c r="T105" s="220">
        <v>43861</v>
      </c>
      <c r="U105" s="220"/>
      <c r="V105" s="221">
        <v>225</v>
      </c>
      <c r="W105" s="221"/>
    </row>
    <row r="106" spans="1:23">
      <c r="A106" s="126">
        <v>2015</v>
      </c>
      <c r="B106" s="120">
        <v>1.3788916411676138E-2</v>
      </c>
      <c r="C106" s="120">
        <v>5.2499999999999997E-4</v>
      </c>
      <c r="D106" s="120">
        <v>1.2842996709792224E-2</v>
      </c>
      <c r="E106" s="120">
        <v>-6.9751836790324859E-3</v>
      </c>
      <c r="F106" s="121">
        <v>294115.79221836175</v>
      </c>
      <c r="G106" s="121">
        <v>1984.4032339135356</v>
      </c>
      <c r="H106" s="121">
        <v>7061.8876309399093</v>
      </c>
      <c r="I106" s="121">
        <v>35838.083510201788</v>
      </c>
      <c r="J106" s="120">
        <v>1.3263916411676138E-2</v>
      </c>
      <c r="K106" s="120">
        <v>9.4591970188391376E-4</v>
      </c>
      <c r="L106" s="122">
        <v>2.0764100090708622E-2</v>
      </c>
      <c r="M106" s="122">
        <v>4.5434457313765497E-2</v>
      </c>
      <c r="N106" s="23">
        <v>1.1862999999999999E-3</v>
      </c>
      <c r="O106" s="125">
        <v>1.2587683642570902E-2</v>
      </c>
      <c r="P106" s="125">
        <v>-6.6051642935982535E-4</v>
      </c>
      <c r="Q106" s="125">
        <v>1.1642884755606708E-2</v>
      </c>
      <c r="R106" s="125">
        <v>-8.151813183053469E-3</v>
      </c>
      <c r="T106" s="220">
        <v>43860</v>
      </c>
      <c r="U106" s="220"/>
      <c r="V106" s="221">
        <v>224</v>
      </c>
      <c r="W106" s="221"/>
    </row>
    <row r="107" spans="1:23">
      <c r="A107" s="127">
        <v>2016</v>
      </c>
      <c r="B107" s="120">
        <v>0.11773080874798171</v>
      </c>
      <c r="C107" s="120">
        <v>3.1749999999999999E-3</v>
      </c>
      <c r="D107" s="120">
        <v>6.9055046987477921E-3</v>
      </c>
      <c r="E107" s="120">
        <v>0.10365105821793222</v>
      </c>
      <c r="F107" s="121">
        <v>328742.28230178286</v>
      </c>
      <c r="G107" s="121">
        <v>1990.7037141812109</v>
      </c>
      <c r="H107" s="121">
        <v>7110.6535291573937</v>
      </c>
      <c r="I107" s="121">
        <v>39552.73879053683</v>
      </c>
      <c r="J107" s="120">
        <v>0.11455580874798171</v>
      </c>
      <c r="K107" s="120">
        <v>0.11082530404923392</v>
      </c>
      <c r="L107" s="122">
        <v>1.4079750530049492E-2</v>
      </c>
      <c r="M107" s="122">
        <v>4.6176501247687796E-2</v>
      </c>
      <c r="N107" s="23">
        <v>1.26158E-2</v>
      </c>
      <c r="O107" s="125">
        <v>0.10380542032623019</v>
      </c>
      <c r="P107" s="125">
        <v>-9.323180617960114E-3</v>
      </c>
      <c r="Q107" s="125">
        <v>-5.6391528763941601E-3</v>
      </c>
      <c r="R107" s="125">
        <v>8.9901084120879826E-2</v>
      </c>
      <c r="T107" s="220">
        <v>43859</v>
      </c>
      <c r="U107" s="220"/>
      <c r="V107" s="221">
        <v>225</v>
      </c>
      <c r="W107" s="221"/>
    </row>
    <row r="108" spans="1:23">
      <c r="A108" s="127">
        <v>2017</v>
      </c>
      <c r="B108" s="120">
        <v>0.2160548143449928</v>
      </c>
      <c r="C108" s="120">
        <v>9.3083333333333334E-3</v>
      </c>
      <c r="D108" s="120">
        <v>2.8017162707789457E-2</v>
      </c>
      <c r="E108" s="120">
        <v>9.7239019462488363E-2</v>
      </c>
      <c r="F108" s="121">
        <v>399768.63507184375</v>
      </c>
      <c r="G108" s="121">
        <v>2009.2338479207142</v>
      </c>
      <c r="H108" s="121">
        <v>7309.8738660425133</v>
      </c>
      <c r="I108" s="121">
        <v>43398.808327584557</v>
      </c>
      <c r="J108" s="120">
        <v>0.20674648101165946</v>
      </c>
      <c r="K108" s="120">
        <v>0.18803765163720335</v>
      </c>
      <c r="L108" s="122">
        <v>0.11881579488250443</v>
      </c>
      <c r="M108" s="122">
        <v>4.7686840373502015E-2</v>
      </c>
      <c r="N108" s="23">
        <v>2.1301100000000003E-2</v>
      </c>
      <c r="O108" s="125">
        <v>0.19069176988548486</v>
      </c>
      <c r="P108" s="125">
        <v>-1.1742635611248109E-2</v>
      </c>
      <c r="Q108" s="125">
        <v>6.5759869521235803E-3</v>
      </c>
      <c r="R108" s="125">
        <v>7.4354095440108958E-2</v>
      </c>
      <c r="T108" s="220">
        <v>43858</v>
      </c>
      <c r="U108" s="220"/>
      <c r="V108" s="221">
        <v>227</v>
      </c>
      <c r="W108" s="221"/>
    </row>
    <row r="109" spans="1:23">
      <c r="A109" s="127">
        <v>2018</v>
      </c>
      <c r="B109" s="120">
        <v>-4.2268692890885438E-2</v>
      </c>
      <c r="C109" s="120">
        <v>1.9391666666666668E-2</v>
      </c>
      <c r="D109" s="120">
        <v>-1.6692385713402633E-4</v>
      </c>
      <c r="E109" s="120">
        <v>-2.7626282217172247E-2</v>
      </c>
      <c r="F109" s="121">
        <v>382870.93740858353</v>
      </c>
      <c r="G109" s="121">
        <v>2048.1962409549769</v>
      </c>
      <c r="H109" s="121">
        <v>7308.6536737016304</v>
      </c>
      <c r="I109" s="121">
        <v>42199.860600837739</v>
      </c>
      <c r="J109" s="120">
        <v>-6.1660359557552107E-2</v>
      </c>
      <c r="K109" s="120">
        <v>-4.2101769033751416E-2</v>
      </c>
      <c r="L109" s="122">
        <v>-1.4642410673713191E-2</v>
      </c>
      <c r="M109" s="122">
        <v>4.6608669094632571E-2</v>
      </c>
      <c r="N109" s="23">
        <v>2.4425800000000001E-2</v>
      </c>
      <c r="O109" s="125">
        <v>-6.5104269036259543E-2</v>
      </c>
      <c r="P109" s="125">
        <v>-4.9141024497169061E-3</v>
      </c>
      <c r="Q109" s="125">
        <v>-2.4006349563954754E-2</v>
      </c>
      <c r="R109" s="125">
        <v>-5.0810983301252444E-2</v>
      </c>
      <c r="T109" s="220">
        <v>43857</v>
      </c>
      <c r="U109" s="220"/>
      <c r="V109" s="221">
        <v>232</v>
      </c>
      <c r="W109" s="221"/>
    </row>
    <row r="110" spans="1:23" ht="16.5" thickBot="1">
      <c r="A110" s="119">
        <v>2019</v>
      </c>
      <c r="B110" s="120">
        <v>0.31223647206653782</v>
      </c>
      <c r="C110" s="120">
        <v>1.55E-2</v>
      </c>
      <c r="D110" s="120">
        <v>9.6356307415483927E-2</v>
      </c>
      <c r="E110" s="120">
        <v>0.15329457562368487</v>
      </c>
      <c r="F110" s="121">
        <v>502417.2081618479</v>
      </c>
      <c r="G110" s="121">
        <v>2079.9432826897792</v>
      </c>
      <c r="H110" s="121">
        <v>8012.8885538781296</v>
      </c>
      <c r="I110" s="121">
        <v>48668.870323021823</v>
      </c>
      <c r="J110" s="120">
        <v>0.2967364720665378</v>
      </c>
      <c r="K110" s="120">
        <v>0.21588016465105389</v>
      </c>
      <c r="L110" s="122">
        <v>0.15894189644285295</v>
      </c>
      <c r="M110" s="122">
        <v>4.8254771937504382E-2</v>
      </c>
      <c r="N110" s="23">
        <v>2.29E-2</v>
      </c>
      <c r="O110" s="125">
        <v>0.28285900094489969</v>
      </c>
      <c r="P110" s="125">
        <v>-7.234333756965361E-3</v>
      </c>
      <c r="Q110" s="125">
        <v>7.1811816810522844E-2</v>
      </c>
      <c r="R110" s="125">
        <v>0.12747538921075874</v>
      </c>
      <c r="T110" s="220">
        <v>43854</v>
      </c>
      <c r="U110" s="220"/>
      <c r="V110" s="221">
        <v>225</v>
      </c>
      <c r="W110" s="221"/>
    </row>
    <row r="111" spans="1:23" ht="16.5" thickBot="1">
      <c r="H111" s="245" t="s">
        <v>319</v>
      </c>
      <c r="I111" s="246"/>
      <c r="J111" s="247" t="s">
        <v>320</v>
      </c>
      <c r="K111" s="248"/>
      <c r="T111" s="220">
        <v>43853</v>
      </c>
      <c r="U111" s="220"/>
      <c r="V111" s="221">
        <v>220</v>
      </c>
      <c r="W111" s="221"/>
    </row>
    <row r="112" spans="1:23" ht="16.5" thickBot="1">
      <c r="A112" s="222" t="s">
        <v>321</v>
      </c>
      <c r="B112" s="223"/>
      <c r="C112" s="223"/>
      <c r="D112" s="223"/>
      <c r="E112" s="225"/>
      <c r="F112" s="114"/>
      <c r="G112" s="128"/>
      <c r="H112" s="129" t="s">
        <v>322</v>
      </c>
      <c r="I112" s="129" t="s">
        <v>323</v>
      </c>
      <c r="J112" s="129" t="s">
        <v>322</v>
      </c>
      <c r="K112" s="129" t="s">
        <v>323</v>
      </c>
      <c r="N112" s="222" t="s">
        <v>324</v>
      </c>
      <c r="O112" s="223"/>
      <c r="P112" s="223"/>
      <c r="Q112" s="223"/>
      <c r="R112" s="224"/>
      <c r="T112" s="220">
        <v>43852</v>
      </c>
      <c r="U112" s="220"/>
      <c r="V112" s="221">
        <v>216</v>
      </c>
      <c r="W112" s="221"/>
    </row>
    <row r="113" spans="1:23">
      <c r="A113" s="130" t="s">
        <v>72</v>
      </c>
      <c r="B113" s="131">
        <f>AVERAGE(B19:B110)</f>
        <v>0.11572285531911951</v>
      </c>
      <c r="C113" s="131">
        <f>AVERAGE(C19:C110)</f>
        <v>3.3970199275362323E-2</v>
      </c>
      <c r="D113" s="131">
        <f>AVERAGE(D19:D110)</f>
        <v>5.1463635887600098E-2</v>
      </c>
      <c r="E113" s="131">
        <f>AVERAGE(E19:E110)</f>
        <v>7.2189565641468875E-2</v>
      </c>
      <c r="F113" s="88"/>
      <c r="G113" s="88"/>
      <c r="H113" s="125">
        <f>B113-C113</f>
        <v>8.1752656043757185E-2</v>
      </c>
      <c r="I113" s="125">
        <f>B113-D113</f>
        <v>6.425921943151941E-2</v>
      </c>
      <c r="J113" s="132">
        <f>STDEV(J19:J110)/(($A$110-$A$19+1)^0.5)</f>
        <v>2.0757116793391941E-2</v>
      </c>
      <c r="K113" s="132">
        <f>STDEV(K19:K110)/(($A$110-$A$19+1)^0.5)</f>
        <v>2.2037846141545893E-2</v>
      </c>
      <c r="N113" s="130" t="s">
        <v>325</v>
      </c>
      <c r="O113" s="131">
        <f>AVERAGE(O19:O110)</f>
        <v>8.4127493807736736E-2</v>
      </c>
      <c r="P113" s="131">
        <f>AVERAGE(P19:P110)</f>
        <v>4.3387439050206547E-3</v>
      </c>
      <c r="Q113" s="131">
        <f>AVERAGE(Q19:Q110)</f>
        <v>2.1667083529567862E-2</v>
      </c>
      <c r="R113" s="131">
        <f>AVERAGE(R19:R110)</f>
        <v>4.2166444265627018E-2</v>
      </c>
      <c r="T113" s="220">
        <v>43851</v>
      </c>
      <c r="U113" s="220"/>
      <c r="V113" s="221">
        <v>214</v>
      </c>
      <c r="W113" s="221"/>
    </row>
    <row r="114" spans="1:23">
      <c r="A114" s="6" t="s">
        <v>326</v>
      </c>
      <c r="B114" s="133">
        <f>AVERAGE(B61:B110)</f>
        <v>0.11893053632111297</v>
      </c>
      <c r="C114" s="133">
        <f>AVERAGE(C61:C110)</f>
        <v>4.6351166666666679E-2</v>
      </c>
      <c r="D114" s="133">
        <f>AVERAGE(D61:D110)</f>
        <v>7.394454230532195E-2</v>
      </c>
      <c r="E114" s="133">
        <f>AVERAGE(E61:E110)</f>
        <v>9.4552207159920687E-2</v>
      </c>
      <c r="F114" s="134"/>
      <c r="G114" s="134"/>
      <c r="H114" s="125">
        <f>B114-C114</f>
        <v>7.2579369654446294E-2</v>
      </c>
      <c r="I114" s="125">
        <f>B114-D114</f>
        <v>4.4985994015791023E-2</v>
      </c>
      <c r="J114" s="125">
        <f>STDEV(J61:J110)/(($A$110-$A$60+1)^0.5)</f>
        <v>2.3847007668801545E-2</v>
      </c>
      <c r="K114" s="125">
        <f>STDEV(K61:K110)/(($A$110-$A$61+1)^0.5)</f>
        <v>2.7256487612012655E-2</v>
      </c>
      <c r="N114" s="6" t="s">
        <v>327</v>
      </c>
      <c r="O114" s="133">
        <f>AVERAGE(O60:O109)</f>
        <v>6.8809905973273619E-2</v>
      </c>
      <c r="P114" s="133">
        <f>AVERAGE(P60:P109)</f>
        <v>6.4963960727203252E-3</v>
      </c>
      <c r="Q114" s="133">
        <f>AVERAGE(Q60:Q109)</f>
        <v>2.9888121902111403E-2</v>
      </c>
      <c r="R114" s="133">
        <f>AVERAGE(R60:R109)</f>
        <v>4.9669644501928865E-2</v>
      </c>
      <c r="T114" s="220">
        <v>43850</v>
      </c>
      <c r="U114" s="220"/>
      <c r="V114" s="221">
        <v>209</v>
      </c>
      <c r="W114" s="221"/>
    </row>
    <row r="115" spans="1:23">
      <c r="A115" s="6" t="s">
        <v>328</v>
      </c>
      <c r="B115" s="133">
        <f>AVERAGE(B101:B110)</f>
        <v>0.14023379162969576</v>
      </c>
      <c r="C115" s="133">
        <f>AVERAGE(C101:C110)</f>
        <v>5.1558333333333334E-3</v>
      </c>
      <c r="D115" s="133">
        <f>AVERAGE(D101:D110)</f>
        <v>4.35069572829615E-2</v>
      </c>
      <c r="E115" s="133">
        <f>AVERAGE(E101:E110)</f>
        <v>7.2344359998993496E-2</v>
      </c>
      <c r="F115" s="134"/>
      <c r="G115" s="134"/>
      <c r="H115" s="125">
        <f>B115-C115</f>
        <v>0.13507795829636243</v>
      </c>
      <c r="I115" s="125">
        <f>B115-D115</f>
        <v>9.6726834346734264E-2</v>
      </c>
      <c r="J115" s="125">
        <f>STDEV(J101:J110)/(($A$110-$A$101+1)^0.5)</f>
        <v>3.8522293077056173E-2</v>
      </c>
      <c r="K115" s="125">
        <f>STDEV(K101:K110)/(($A$110-$A$101+1)^0.5)</f>
        <v>4.8709930367979833E-2</v>
      </c>
      <c r="N115" s="6" t="s">
        <v>329</v>
      </c>
      <c r="O115" s="133">
        <f>AVERAGE(O100:O109)</f>
        <v>0.11801551640645436</v>
      </c>
      <c r="P115" s="133">
        <f>AVERAGE(P100:P109)</f>
        <v>-1.1538972375605338E-2</v>
      </c>
      <c r="Q115" s="133">
        <f>AVERAGE(Q100:Q109)</f>
        <v>6.7004205830458186E-3</v>
      </c>
      <c r="R115" s="133">
        <f>AVERAGE(R100:R109)</f>
        <v>6.4068028002315466E-2</v>
      </c>
      <c r="T115" s="220">
        <v>43847</v>
      </c>
      <c r="U115" s="220"/>
      <c r="V115" s="221">
        <v>209</v>
      </c>
      <c r="W115" s="221"/>
    </row>
    <row r="116" spans="1:23" ht="16.5" thickBot="1">
      <c r="I116" s="135" t="s">
        <v>319</v>
      </c>
      <c r="P116" s="96"/>
      <c r="T116" s="220">
        <v>43846</v>
      </c>
      <c r="U116" s="220"/>
      <c r="V116" s="221">
        <v>211</v>
      </c>
      <c r="W116" s="221"/>
    </row>
    <row r="117" spans="1:23" ht="16.5" thickBot="1">
      <c r="A117" s="222" t="s">
        <v>330</v>
      </c>
      <c r="B117" s="223"/>
      <c r="C117" s="223"/>
      <c r="D117" s="223"/>
      <c r="E117" s="225"/>
      <c r="F117" s="114"/>
      <c r="G117" s="114"/>
      <c r="H117" s="136" t="s">
        <v>322</v>
      </c>
      <c r="I117" s="136" t="s">
        <v>323</v>
      </c>
      <c r="P117"/>
      <c r="Q117"/>
      <c r="R117"/>
      <c r="S117"/>
      <c r="T117" s="220">
        <v>43845</v>
      </c>
      <c r="U117" s="220"/>
      <c r="V117" s="221">
        <v>217</v>
      </c>
      <c r="W117" s="221"/>
    </row>
    <row r="118" spans="1:23">
      <c r="A118" s="130" t="s">
        <v>72</v>
      </c>
      <c r="B118" s="137">
        <f>(F110/100)^(1/($A$110-$A$19+1))-1</f>
        <v>9.7056416828062542E-2</v>
      </c>
      <c r="C118" s="137">
        <f>(G110/100)^(1/($A$110-$A$19+1))-1</f>
        <v>3.353847056906023E-2</v>
      </c>
      <c r="D118" s="137">
        <f>(H110/100)^(1/($A$110-$A$19+1))-1</f>
        <v>4.880164489055816E-2</v>
      </c>
      <c r="E118" s="137">
        <f>(I110/100)^(1/($A$110-$A$19+1))-1</f>
        <v>6.9570098116563228E-2</v>
      </c>
      <c r="F118" s="138"/>
      <c r="G118" s="138"/>
      <c r="H118" s="125">
        <f>B118-C118</f>
        <v>6.3517946259002311E-2</v>
      </c>
      <c r="I118" s="125">
        <f>B118-D118</f>
        <v>4.8254771937504382E-2</v>
      </c>
      <c r="P118"/>
      <c r="Q118"/>
      <c r="R118"/>
      <c r="S118"/>
      <c r="T118" s="220">
        <v>43844</v>
      </c>
      <c r="U118" s="220"/>
      <c r="V118" s="221">
        <v>215</v>
      </c>
      <c r="W118" s="221"/>
    </row>
    <row r="119" spans="1:23">
      <c r="A119" s="6" t="s">
        <v>326</v>
      </c>
      <c r="B119" s="139">
        <f>(F110/F60)^(1/($A$110-$A$60))-1</f>
        <v>0.10514146630337362</v>
      </c>
      <c r="C119" s="139">
        <f>(G110/G60)^(1/($A$110-$A$60))-1</f>
        <v>4.5828426571589809E-2</v>
      </c>
      <c r="D119" s="139">
        <f>(H110/H60)^(1/($A$110-$A$60))-1</f>
        <v>6.9945438573878249E-2</v>
      </c>
      <c r="E119" s="139">
        <f>(I110/I60)^(1/($A$110-$A$60))-1</f>
        <v>9.1792556993442576E-2</v>
      </c>
      <c r="F119" s="138"/>
      <c r="G119" s="138"/>
      <c r="H119" s="125">
        <f>B119-C119</f>
        <v>5.9313039731783812E-2</v>
      </c>
      <c r="I119" s="125">
        <f>B119-D119</f>
        <v>3.5196027729495372E-2</v>
      </c>
      <c r="P119"/>
      <c r="Q119"/>
      <c r="R119"/>
      <c r="S119"/>
      <c r="T119" s="220">
        <v>43843</v>
      </c>
      <c r="U119" s="220"/>
      <c r="V119" s="221">
        <v>213</v>
      </c>
      <c r="W119" s="221"/>
    </row>
    <row r="120" spans="1:23">
      <c r="A120" s="6" t="s">
        <v>328</v>
      </c>
      <c r="B120" s="139">
        <f>(F110/F100)^(1/($A$110-$A$100))-1</f>
        <v>0.13441580211815563</v>
      </c>
      <c r="C120" s="139">
        <f>(G110/G100)^(1/($A$110-$A$100))-1</f>
        <v>5.1335244173584815E-3</v>
      </c>
      <c r="D120" s="139">
        <f>(H110/H100)^(1/($A$110-$A$100))-1</f>
        <v>4.1326736225638205E-2</v>
      </c>
      <c r="E120" s="139">
        <f>(I110/I100)^(1/($A$110-$A$100))-1</f>
        <v>7.0619073963407608E-2</v>
      </c>
      <c r="F120" s="138"/>
      <c r="G120" s="138"/>
      <c r="H120" s="125">
        <f>B120-C120</f>
        <v>0.12928227770079714</v>
      </c>
      <c r="I120" s="125">
        <f>B120-D120</f>
        <v>9.308906589251742E-2</v>
      </c>
      <c r="P120"/>
      <c r="Q120"/>
      <c r="R120"/>
      <c r="S120"/>
      <c r="T120" s="220">
        <v>43840</v>
      </c>
      <c r="U120" s="220"/>
      <c r="V120" s="221">
        <v>213</v>
      </c>
      <c r="W120" s="221"/>
    </row>
    <row r="121" spans="1:23">
      <c r="T121" s="220">
        <v>43839</v>
      </c>
      <c r="U121" s="220"/>
      <c r="V121" s="221">
        <v>215</v>
      </c>
      <c r="W121" s="221"/>
    </row>
    <row r="122" spans="1:23">
      <c r="T122" s="220">
        <v>43838</v>
      </c>
      <c r="U122" s="220"/>
      <c r="V122" s="221">
        <v>215</v>
      </c>
      <c r="W122" s="221"/>
    </row>
    <row r="123" spans="1:23">
      <c r="T123" s="220">
        <v>43837</v>
      </c>
      <c r="U123" s="220"/>
      <c r="V123" s="221">
        <v>220</v>
      </c>
      <c r="W123" s="221"/>
    </row>
    <row r="124" spans="1:23">
      <c r="T124" s="220">
        <v>43836</v>
      </c>
      <c r="U124" s="220"/>
      <c r="V124" s="221">
        <v>222</v>
      </c>
      <c r="W124" s="221"/>
    </row>
    <row r="125" spans="1:23">
      <c r="T125" s="220">
        <v>43833</v>
      </c>
      <c r="U125" s="220"/>
      <c r="V125" s="221">
        <v>225</v>
      </c>
      <c r="W125" s="221"/>
    </row>
    <row r="126" spans="1:23">
      <c r="T126" s="220">
        <v>43832</v>
      </c>
      <c r="U126" s="220"/>
      <c r="V126" s="221">
        <v>218</v>
      </c>
      <c r="W126" s="221"/>
    </row>
    <row r="127" spans="1:23">
      <c r="T127" s="220">
        <v>43830</v>
      </c>
      <c r="U127" s="220"/>
      <c r="V127" s="221">
        <v>214</v>
      </c>
      <c r="W127" s="221"/>
    </row>
    <row r="128" spans="1:23">
      <c r="T128" s="220">
        <v>43829</v>
      </c>
      <c r="U128" s="220"/>
      <c r="V128" s="221">
        <v>215</v>
      </c>
      <c r="W128" s="221"/>
    </row>
    <row r="129" spans="20:23">
      <c r="T129" s="220">
        <v>43826</v>
      </c>
      <c r="U129" s="220"/>
      <c r="V129" s="221">
        <v>215</v>
      </c>
      <c r="W129" s="221"/>
    </row>
    <row r="130" spans="20:23">
      <c r="T130" s="220">
        <v>43825</v>
      </c>
      <c r="U130" s="220"/>
      <c r="V130" s="221">
        <v>214</v>
      </c>
      <c r="W130" s="221"/>
    </row>
    <row r="131" spans="20:23">
      <c r="T131" s="220">
        <v>43823</v>
      </c>
      <c r="U131" s="220"/>
      <c r="V131" s="221">
        <v>215</v>
      </c>
      <c r="W131" s="221"/>
    </row>
    <row r="132" spans="20:23">
      <c r="T132" s="220">
        <v>43822</v>
      </c>
      <c r="U132" s="220"/>
      <c r="V132" s="221">
        <v>212</v>
      </c>
      <c r="W132" s="221"/>
    </row>
    <row r="133" spans="20:23">
      <c r="T133" s="220">
        <v>43819</v>
      </c>
      <c r="U133" s="220"/>
      <c r="V133" s="221">
        <v>214</v>
      </c>
      <c r="W133" s="221"/>
    </row>
    <row r="134" spans="20:23">
      <c r="T134" s="220">
        <v>43818</v>
      </c>
      <c r="U134" s="220"/>
      <c r="V134" s="221">
        <v>213</v>
      </c>
      <c r="W134" s="221"/>
    </row>
    <row r="135" spans="20:23">
      <c r="T135" s="220">
        <v>43817</v>
      </c>
      <c r="U135" s="220"/>
      <c r="V135" s="221">
        <v>208</v>
      </c>
      <c r="W135" s="221"/>
    </row>
    <row r="136" spans="20:23">
      <c r="T136" s="220">
        <v>43816</v>
      </c>
      <c r="U136" s="220"/>
      <c r="V136" s="221">
        <v>211</v>
      </c>
      <c r="W136" s="221"/>
    </row>
    <row r="137" spans="20:23">
      <c r="T137" s="220">
        <v>43815</v>
      </c>
      <c r="U137" s="220"/>
      <c r="V137" s="221">
        <v>212</v>
      </c>
      <c r="W137" s="221"/>
    </row>
    <row r="138" spans="20:23">
      <c r="T138" s="220">
        <v>43812</v>
      </c>
      <c r="U138" s="220"/>
      <c r="V138" s="221">
        <v>218</v>
      </c>
      <c r="W138" s="221"/>
    </row>
    <row r="139" spans="20:23">
      <c r="T139" s="220">
        <v>43811</v>
      </c>
      <c r="U139" s="220"/>
      <c r="V139" s="221">
        <v>215</v>
      </c>
      <c r="W139" s="221"/>
    </row>
    <row r="140" spans="20:23">
      <c r="T140" s="220">
        <v>43810</v>
      </c>
      <c r="U140" s="220"/>
      <c r="V140" s="221">
        <v>230</v>
      </c>
      <c r="W140" s="221"/>
    </row>
    <row r="141" spans="20:23">
      <c r="T141" s="220">
        <v>43809</v>
      </c>
      <c r="U141" s="220"/>
      <c r="V141" s="221">
        <v>228</v>
      </c>
      <c r="W141" s="221"/>
    </row>
    <row r="142" spans="20:23">
      <c r="T142" s="220">
        <v>43808</v>
      </c>
      <c r="U142" s="220"/>
      <c r="V142" s="221">
        <v>231</v>
      </c>
      <c r="W142" s="221"/>
    </row>
    <row r="143" spans="20:23">
      <c r="T143" s="220">
        <v>43805</v>
      </c>
      <c r="U143" s="220"/>
      <c r="V143" s="221">
        <v>231</v>
      </c>
      <c r="W143" s="221"/>
    </row>
    <row r="144" spans="20:23">
      <c r="T144" s="220">
        <v>43804</v>
      </c>
      <c r="U144" s="220"/>
      <c r="V144" s="221">
        <v>238</v>
      </c>
      <c r="W144" s="221"/>
    </row>
    <row r="145" spans="20:23">
      <c r="T145" s="220">
        <v>43803</v>
      </c>
      <c r="U145" s="220"/>
      <c r="V145" s="221">
        <v>240</v>
      </c>
      <c r="W145" s="221"/>
    </row>
    <row r="146" spans="20:23">
      <c r="T146" s="220">
        <v>43802</v>
      </c>
      <c r="U146" s="220"/>
      <c r="V146" s="221">
        <v>250</v>
      </c>
      <c r="W146" s="221"/>
    </row>
    <row r="147" spans="20:23">
      <c r="T147" s="220">
        <v>43801</v>
      </c>
      <c r="U147" s="220"/>
      <c r="V147" s="221">
        <v>240</v>
      </c>
      <c r="W147" s="221"/>
    </row>
    <row r="148" spans="20:23">
      <c r="T148" s="220">
        <v>43798</v>
      </c>
      <c r="U148" s="220"/>
      <c r="V148" s="221">
        <v>239</v>
      </c>
      <c r="W148" s="221"/>
    </row>
    <row r="149" spans="20:23">
      <c r="T149" s="220">
        <v>43797</v>
      </c>
      <c r="U149" s="220"/>
      <c r="V149" s="221">
        <v>244</v>
      </c>
      <c r="W149" s="221"/>
    </row>
    <row r="150" spans="20:23">
      <c r="T150" s="220">
        <v>43796</v>
      </c>
      <c r="U150" s="220"/>
      <c r="V150" s="221">
        <v>244</v>
      </c>
      <c r="W150" s="221"/>
    </row>
    <row r="151" spans="20:23">
      <c r="T151" s="220">
        <v>43795</v>
      </c>
      <c r="U151" s="220"/>
      <c r="V151" s="221">
        <v>246</v>
      </c>
      <c r="W151" s="221"/>
    </row>
    <row r="152" spans="20:23">
      <c r="T152" s="220">
        <v>43794</v>
      </c>
      <c r="U152" s="220"/>
      <c r="V152" s="221">
        <v>242</v>
      </c>
      <c r="W152" s="221"/>
    </row>
    <row r="153" spans="20:23">
      <c r="T153" s="220">
        <v>43791</v>
      </c>
      <c r="U153" s="220"/>
      <c r="V153" s="221">
        <v>241</v>
      </c>
      <c r="W153" s="221"/>
    </row>
    <row r="154" spans="20:23">
      <c r="T154" s="220">
        <v>43790</v>
      </c>
      <c r="U154" s="220"/>
      <c r="V154" s="221">
        <v>245</v>
      </c>
      <c r="W154" s="221"/>
    </row>
    <row r="155" spans="20:23">
      <c r="T155" s="220">
        <v>43789</v>
      </c>
      <c r="U155" s="220"/>
      <c r="V155" s="221">
        <v>249</v>
      </c>
      <c r="W155" s="221"/>
    </row>
    <row r="156" spans="20:23">
      <c r="T156" s="220">
        <v>43788</v>
      </c>
      <c r="U156" s="220"/>
      <c r="V156" s="221">
        <v>246</v>
      </c>
      <c r="W156" s="221"/>
    </row>
    <row r="157" spans="20:23">
      <c r="T157" s="220">
        <v>43787</v>
      </c>
      <c r="U157" s="220"/>
      <c r="V157" s="221">
        <v>240</v>
      </c>
      <c r="W157" s="221"/>
    </row>
    <row r="158" spans="20:23">
      <c r="T158" s="220">
        <v>43784</v>
      </c>
      <c r="U158" s="220"/>
      <c r="V158" s="221">
        <v>238</v>
      </c>
      <c r="W158" s="221"/>
    </row>
    <row r="159" spans="20:23">
      <c r="T159" s="220">
        <v>43783</v>
      </c>
      <c r="U159" s="220"/>
      <c r="V159" s="221">
        <v>238</v>
      </c>
      <c r="W159" s="221"/>
    </row>
    <row r="160" spans="20:23">
      <c r="T160" s="220">
        <v>43782</v>
      </c>
      <c r="U160" s="220"/>
      <c r="V160" s="221">
        <v>235</v>
      </c>
      <c r="W160" s="221"/>
    </row>
    <row r="161" spans="20:23">
      <c r="T161" s="220">
        <v>43781</v>
      </c>
      <c r="U161" s="220"/>
      <c r="V161" s="221">
        <v>232</v>
      </c>
      <c r="W161" s="221"/>
    </row>
    <row r="162" spans="20:23">
      <c r="T162" s="220">
        <v>43780</v>
      </c>
      <c r="U162" s="220"/>
      <c r="V162" s="221">
        <v>229</v>
      </c>
      <c r="W162" s="221"/>
    </row>
    <row r="163" spans="20:23">
      <c r="T163" s="220">
        <v>43777</v>
      </c>
      <c r="U163" s="220"/>
      <c r="V163" s="221">
        <v>229</v>
      </c>
      <c r="W163" s="221"/>
    </row>
    <row r="164" spans="20:23">
      <c r="T164" s="220">
        <v>43776</v>
      </c>
      <c r="U164" s="220"/>
      <c r="V164" s="221">
        <v>230</v>
      </c>
      <c r="W164" s="221"/>
    </row>
    <row r="165" spans="20:23">
      <c r="T165" s="220">
        <v>43775</v>
      </c>
      <c r="U165" s="220"/>
      <c r="V165" s="221">
        <v>235</v>
      </c>
      <c r="W165" s="221"/>
    </row>
    <row r="166" spans="20:23">
      <c r="T166" s="220">
        <v>43774</v>
      </c>
      <c r="U166" s="220"/>
      <c r="V166" s="221">
        <v>231</v>
      </c>
      <c r="W166" s="221"/>
    </row>
    <row r="167" spans="20:23">
      <c r="T167" s="220">
        <v>43773</v>
      </c>
      <c r="U167" s="220"/>
      <c r="V167" s="221">
        <v>229</v>
      </c>
      <c r="W167" s="221"/>
    </row>
    <row r="168" spans="20:23">
      <c r="T168" s="220">
        <v>43770</v>
      </c>
      <c r="U168" s="220"/>
      <c r="V168" s="221">
        <v>231</v>
      </c>
      <c r="W168" s="221"/>
    </row>
    <row r="169" spans="20:23">
      <c r="T169" s="220">
        <v>43769</v>
      </c>
      <c r="U169" s="220"/>
      <c r="V169" s="221">
        <v>240</v>
      </c>
      <c r="W169" s="221"/>
    </row>
    <row r="170" spans="20:23">
      <c r="T170" s="220">
        <v>43768</v>
      </c>
      <c r="U170" s="220"/>
      <c r="V170" s="221">
        <v>237</v>
      </c>
      <c r="W170" s="221"/>
    </row>
    <row r="171" spans="20:23">
      <c r="T171" s="220">
        <v>43767</v>
      </c>
      <c r="U171" s="220"/>
      <c r="V171" s="221">
        <v>228</v>
      </c>
      <c r="W171" s="221"/>
    </row>
    <row r="172" spans="20:23">
      <c r="T172" s="220">
        <v>43766</v>
      </c>
      <c r="U172" s="220"/>
      <c r="V172" s="221">
        <v>227</v>
      </c>
      <c r="W172" s="221"/>
    </row>
    <row r="173" spans="20:23">
      <c r="T173" s="220">
        <v>43763</v>
      </c>
      <c r="U173" s="220"/>
      <c r="V173" s="221">
        <v>231</v>
      </c>
      <c r="W173" s="221"/>
    </row>
    <row r="174" spans="20:23">
      <c r="T174" s="220">
        <v>43762</v>
      </c>
      <c r="U174" s="220"/>
      <c r="V174" s="221">
        <v>235</v>
      </c>
      <c r="W174" s="221"/>
    </row>
    <row r="175" spans="20:23">
      <c r="T175" s="220">
        <v>43761</v>
      </c>
      <c r="U175" s="220"/>
      <c r="V175" s="221">
        <v>237</v>
      </c>
      <c r="W175" s="221"/>
    </row>
    <row r="176" spans="20:23">
      <c r="T176" s="220">
        <v>43760</v>
      </c>
      <c r="U176" s="220"/>
      <c r="V176" s="221">
        <v>237</v>
      </c>
      <c r="W176" s="221"/>
    </row>
    <row r="177" spans="20:23">
      <c r="T177" s="220">
        <v>43759</v>
      </c>
      <c r="U177" s="220"/>
      <c r="V177" s="221">
        <v>235</v>
      </c>
      <c r="W177" s="221"/>
    </row>
    <row r="178" spans="20:23">
      <c r="T178" s="220">
        <v>43756</v>
      </c>
      <c r="U178" s="220"/>
      <c r="V178" s="221">
        <v>238</v>
      </c>
      <c r="W178" s="221"/>
    </row>
    <row r="179" spans="20:23">
      <c r="T179" s="220">
        <v>43755</v>
      </c>
      <c r="U179" s="220"/>
      <c r="V179" s="221">
        <v>238</v>
      </c>
      <c r="W179" s="221"/>
    </row>
    <row r="180" spans="20:23">
      <c r="T180" s="220">
        <v>43754</v>
      </c>
      <c r="U180" s="220"/>
      <c r="V180" s="221">
        <v>239</v>
      </c>
      <c r="W180" s="221"/>
    </row>
    <row r="181" spans="20:23">
      <c r="T181" s="220">
        <v>43753</v>
      </c>
      <c r="U181" s="220"/>
      <c r="V181" s="221">
        <v>237</v>
      </c>
      <c r="W181" s="221"/>
    </row>
    <row r="182" spans="20:23">
      <c r="T182" s="220">
        <v>43752</v>
      </c>
      <c r="U182" s="220"/>
      <c r="V182" s="221">
        <v>240</v>
      </c>
      <c r="W182" s="221"/>
    </row>
    <row r="183" spans="20:23">
      <c r="T183" s="220">
        <v>43749</v>
      </c>
      <c r="U183" s="220"/>
      <c r="V183" s="221">
        <v>240</v>
      </c>
      <c r="W183" s="221"/>
    </row>
    <row r="184" spans="20:23">
      <c r="T184" s="220">
        <v>43748</v>
      </c>
      <c r="U184" s="220"/>
      <c r="V184" s="221">
        <v>247</v>
      </c>
      <c r="W184" s="221"/>
    </row>
    <row r="185" spans="20:23">
      <c r="T185" s="220">
        <v>43747</v>
      </c>
      <c r="U185" s="220"/>
      <c r="V185" s="221">
        <v>255</v>
      </c>
      <c r="W185" s="221"/>
    </row>
    <row r="186" spans="20:23">
      <c r="T186" s="220">
        <v>43746</v>
      </c>
      <c r="U186" s="220"/>
      <c r="V186" s="221">
        <v>262</v>
      </c>
      <c r="W186" s="221"/>
    </row>
    <row r="187" spans="20:23">
      <c r="T187" s="220">
        <v>43745</v>
      </c>
      <c r="U187" s="220"/>
      <c r="V187" s="221">
        <v>259</v>
      </c>
      <c r="W187" s="221"/>
    </row>
    <row r="188" spans="20:23">
      <c r="T188" s="220">
        <v>43742</v>
      </c>
      <c r="U188" s="220"/>
      <c r="V188" s="221">
        <v>264</v>
      </c>
      <c r="W188" s="221"/>
    </row>
    <row r="189" spans="20:23">
      <c r="T189" s="220">
        <v>43741</v>
      </c>
      <c r="U189" s="220"/>
      <c r="V189" s="221">
        <v>264</v>
      </c>
      <c r="W189" s="221"/>
    </row>
    <row r="190" spans="20:23">
      <c r="T190" s="220">
        <v>43740</v>
      </c>
      <c r="U190" s="220"/>
      <c r="V190" s="221">
        <v>259</v>
      </c>
      <c r="W190" s="221"/>
    </row>
    <row r="191" spans="20:23">
      <c r="T191" s="220">
        <v>43739</v>
      </c>
      <c r="U191" s="220"/>
      <c r="V191" s="221">
        <v>252</v>
      </c>
      <c r="W191" s="221"/>
    </row>
    <row r="192" spans="20:23">
      <c r="T192" s="220">
        <v>43738</v>
      </c>
      <c r="U192" s="220"/>
      <c r="V192" s="221">
        <v>247</v>
      </c>
      <c r="W192" s="221"/>
    </row>
    <row r="193" spans="20:23">
      <c r="T193" s="220">
        <v>43735</v>
      </c>
      <c r="U193" s="220"/>
      <c r="V193" s="221">
        <v>246</v>
      </c>
      <c r="W193" s="221"/>
    </row>
    <row r="194" spans="20:23">
      <c r="T194" s="220">
        <v>43734</v>
      </c>
      <c r="U194" s="220"/>
      <c r="V194" s="221">
        <v>243</v>
      </c>
      <c r="W194" s="221"/>
    </row>
    <row r="195" spans="20:23">
      <c r="T195" s="220">
        <v>43733</v>
      </c>
      <c r="U195" s="220"/>
      <c r="V195" s="221">
        <v>240</v>
      </c>
      <c r="W195" s="221"/>
    </row>
    <row r="196" spans="20:23">
      <c r="T196" s="220">
        <v>43732</v>
      </c>
      <c r="U196" s="220"/>
      <c r="V196" s="221">
        <v>243</v>
      </c>
      <c r="W196" s="221"/>
    </row>
    <row r="197" spans="20:23">
      <c r="T197" s="220">
        <v>43731</v>
      </c>
      <c r="U197" s="220"/>
      <c r="V197" s="221">
        <v>234</v>
      </c>
      <c r="W197" s="221"/>
    </row>
    <row r="198" spans="20:23">
      <c r="T198" s="220">
        <v>43728</v>
      </c>
      <c r="U198" s="220"/>
      <c r="V198" s="221">
        <v>232</v>
      </c>
      <c r="W198" s="221"/>
    </row>
    <row r="199" spans="20:23">
      <c r="T199" s="220">
        <v>43727</v>
      </c>
      <c r="U199" s="220"/>
      <c r="V199" s="221">
        <v>227</v>
      </c>
      <c r="W199" s="221"/>
    </row>
    <row r="200" spans="20:23">
      <c r="T200" s="220">
        <v>43726</v>
      </c>
      <c r="U200" s="220"/>
      <c r="V200" s="221">
        <v>225</v>
      </c>
      <c r="W200" s="221"/>
    </row>
    <row r="201" spans="20:23">
      <c r="T201" s="220">
        <v>43725</v>
      </c>
      <c r="U201" s="220"/>
      <c r="V201" s="221">
        <v>227</v>
      </c>
      <c r="W201" s="221"/>
    </row>
    <row r="202" spans="20:23">
      <c r="T202" s="220">
        <v>43724</v>
      </c>
      <c r="U202" s="220"/>
      <c r="V202" s="221">
        <v>224</v>
      </c>
      <c r="W202" s="221"/>
    </row>
    <row r="203" spans="20:23">
      <c r="T203" s="220">
        <v>43721</v>
      </c>
      <c r="U203" s="220"/>
      <c r="V203" s="221">
        <v>219</v>
      </c>
      <c r="W203" s="221"/>
    </row>
    <row r="204" spans="20:23">
      <c r="T204" s="220">
        <v>43720</v>
      </c>
      <c r="U204" s="220"/>
      <c r="V204" s="221">
        <v>222</v>
      </c>
      <c r="W204" s="221"/>
    </row>
    <row r="205" spans="20:23">
      <c r="T205" s="220">
        <v>43719</v>
      </c>
      <c r="U205" s="220"/>
      <c r="V205" s="221">
        <v>228</v>
      </c>
      <c r="W205" s="221"/>
    </row>
    <row r="206" spans="20:23">
      <c r="T206" s="220">
        <v>43718</v>
      </c>
      <c r="U206" s="220"/>
      <c r="V206" s="221">
        <v>229</v>
      </c>
      <c r="W206" s="221"/>
    </row>
    <row r="207" spans="20:23">
      <c r="T207" s="220">
        <v>43717</v>
      </c>
      <c r="U207" s="220"/>
      <c r="V207" s="221">
        <v>234</v>
      </c>
      <c r="W207" s="221"/>
    </row>
    <row r="208" spans="20:23">
      <c r="T208" s="220">
        <v>43714</v>
      </c>
      <c r="U208" s="220"/>
      <c r="V208" s="221">
        <v>240</v>
      </c>
      <c r="W208" s="221"/>
    </row>
    <row r="209" spans="20:23">
      <c r="T209" s="220">
        <v>43713</v>
      </c>
      <c r="U209" s="220"/>
      <c r="V209" s="221">
        <v>238</v>
      </c>
      <c r="W209" s="221"/>
    </row>
    <row r="210" spans="20:23">
      <c r="T210" s="220">
        <v>43712</v>
      </c>
      <c r="U210" s="220"/>
      <c r="V210" s="221">
        <v>247</v>
      </c>
      <c r="W210" s="221"/>
    </row>
    <row r="211" spans="20:23">
      <c r="T211" s="220">
        <v>43711</v>
      </c>
      <c r="U211" s="220"/>
      <c r="V211" s="221">
        <v>249</v>
      </c>
      <c r="W211" s="221"/>
    </row>
    <row r="212" spans="20:23">
      <c r="T212" s="220">
        <v>43710</v>
      </c>
      <c r="U212" s="220"/>
      <c r="V212" s="221">
        <v>248</v>
      </c>
      <c r="W212" s="221"/>
    </row>
    <row r="213" spans="20:23">
      <c r="T213" s="220">
        <v>43707</v>
      </c>
      <c r="U213" s="220"/>
      <c r="V213" s="221">
        <v>248</v>
      </c>
      <c r="W213" s="221"/>
    </row>
    <row r="214" spans="20:23">
      <c r="T214" s="220">
        <v>43706</v>
      </c>
      <c r="U214" s="220"/>
      <c r="V214" s="221">
        <v>247</v>
      </c>
      <c r="W214" s="221"/>
    </row>
    <row r="215" spans="20:23">
      <c r="T215" s="220">
        <v>43705</v>
      </c>
      <c r="U215" s="220"/>
      <c r="V215" s="221">
        <v>252</v>
      </c>
      <c r="W215" s="221"/>
    </row>
    <row r="216" spans="20:23">
      <c r="T216" s="220">
        <v>43704</v>
      </c>
      <c r="U216" s="220"/>
      <c r="V216" s="221">
        <v>250</v>
      </c>
      <c r="W216" s="221"/>
    </row>
    <row r="217" spans="20:23">
      <c r="T217" s="220">
        <v>43703</v>
      </c>
      <c r="U217" s="220"/>
      <c r="V217" s="221">
        <v>245</v>
      </c>
      <c r="W217" s="221"/>
    </row>
    <row r="218" spans="20:23">
      <c r="T218" s="220">
        <v>43700</v>
      </c>
      <c r="U218" s="220"/>
      <c r="V218" s="221">
        <v>246</v>
      </c>
      <c r="W218" s="221"/>
    </row>
    <row r="219" spans="20:23">
      <c r="T219" s="220">
        <v>43699</v>
      </c>
      <c r="U219" s="220"/>
      <c r="V219" s="221">
        <v>240</v>
      </c>
      <c r="W219" s="221"/>
    </row>
    <row r="220" spans="20:23">
      <c r="T220" s="220">
        <v>43698</v>
      </c>
      <c r="U220" s="220"/>
      <c r="V220" s="221">
        <v>244</v>
      </c>
      <c r="W220" s="221"/>
    </row>
    <row r="221" spans="20:23">
      <c r="T221" s="220">
        <v>43697</v>
      </c>
      <c r="U221" s="220"/>
      <c r="V221" s="221">
        <v>247</v>
      </c>
      <c r="W221" s="221"/>
    </row>
    <row r="222" spans="20:23">
      <c r="T222" s="220">
        <v>43696</v>
      </c>
      <c r="U222" s="220"/>
      <c r="V222" s="221">
        <v>243</v>
      </c>
      <c r="W222" s="221"/>
    </row>
    <row r="223" spans="20:23">
      <c r="T223" s="220">
        <v>43693</v>
      </c>
      <c r="U223" s="220"/>
      <c r="V223" s="221">
        <v>248</v>
      </c>
      <c r="W223" s="221"/>
    </row>
    <row r="224" spans="20:23">
      <c r="T224" s="220">
        <v>43692</v>
      </c>
      <c r="U224" s="220"/>
      <c r="V224" s="221">
        <v>251</v>
      </c>
      <c r="W224" s="221"/>
    </row>
    <row r="225" spans="20:23">
      <c r="T225" s="220">
        <v>43691</v>
      </c>
      <c r="U225" s="220"/>
      <c r="V225" s="221">
        <v>244</v>
      </c>
      <c r="W225" s="221"/>
    </row>
    <row r="226" spans="20:23">
      <c r="T226" s="220">
        <v>43690</v>
      </c>
      <c r="U226" s="220"/>
      <c r="V226" s="221">
        <v>236</v>
      </c>
      <c r="W226" s="221"/>
    </row>
    <row r="227" spans="20:23">
      <c r="T227" s="220">
        <v>43689</v>
      </c>
      <c r="U227" s="220"/>
      <c r="V227" s="221">
        <v>239</v>
      </c>
      <c r="W227" s="221"/>
    </row>
    <row r="228" spans="20:23">
      <c r="T228" s="220">
        <v>43686</v>
      </c>
      <c r="U228" s="220"/>
      <c r="V228" s="221">
        <v>226</v>
      </c>
      <c r="W228" s="221"/>
    </row>
    <row r="229" spans="20:23">
      <c r="T229" s="220">
        <v>43685</v>
      </c>
      <c r="U229" s="220"/>
      <c r="V229" s="221">
        <v>229</v>
      </c>
      <c r="W229" s="221"/>
    </row>
    <row r="230" spans="20:23">
      <c r="T230" s="220">
        <v>43684</v>
      </c>
      <c r="U230" s="220"/>
      <c r="V230" s="221">
        <v>232</v>
      </c>
      <c r="W230" s="221"/>
    </row>
    <row r="231" spans="20:23">
      <c r="T231" s="220">
        <v>43683</v>
      </c>
      <c r="U231" s="220"/>
      <c r="V231" s="221">
        <v>233</v>
      </c>
      <c r="W231" s="221"/>
    </row>
    <row r="232" spans="20:23">
      <c r="T232" s="220">
        <v>43682</v>
      </c>
      <c r="U232" s="220"/>
      <c r="V232" s="221">
        <v>235</v>
      </c>
      <c r="W232" s="221"/>
    </row>
    <row r="233" spans="20:23">
      <c r="T233" s="220">
        <v>43679</v>
      </c>
      <c r="U233" s="220"/>
      <c r="V233" s="221">
        <v>222</v>
      </c>
      <c r="W233" s="221"/>
    </row>
    <row r="234" spans="20:23">
      <c r="T234" s="220">
        <v>43678</v>
      </c>
      <c r="U234" s="220"/>
      <c r="V234" s="221">
        <v>221</v>
      </c>
      <c r="W234" s="221"/>
    </row>
    <row r="235" spans="20:23">
      <c r="T235" s="220">
        <v>43677</v>
      </c>
      <c r="U235" s="220"/>
      <c r="V235" s="221">
        <v>212</v>
      </c>
      <c r="W235" s="221"/>
    </row>
    <row r="236" spans="20:23">
      <c r="T236" s="220">
        <v>43676</v>
      </c>
      <c r="U236" s="220"/>
      <c r="V236" s="221">
        <v>209</v>
      </c>
      <c r="W236" s="221"/>
    </row>
    <row r="237" spans="20:23">
      <c r="T237" s="220">
        <v>43675</v>
      </c>
      <c r="U237" s="220"/>
      <c r="V237" s="221">
        <v>207</v>
      </c>
      <c r="W237" s="221"/>
    </row>
    <row r="238" spans="20:23">
      <c r="T238" s="220">
        <v>43672</v>
      </c>
      <c r="U238" s="220"/>
      <c r="V238" s="221">
        <v>207</v>
      </c>
      <c r="W238" s="221"/>
    </row>
    <row r="239" spans="20:23">
      <c r="T239" s="220">
        <v>43671</v>
      </c>
      <c r="U239" s="220"/>
      <c r="V239" s="221">
        <v>208</v>
      </c>
      <c r="W239" s="221"/>
    </row>
    <row r="240" spans="20:23">
      <c r="T240" s="220">
        <v>43670</v>
      </c>
      <c r="U240" s="220"/>
      <c r="V240" s="221">
        <v>213</v>
      </c>
      <c r="W240" s="221"/>
    </row>
    <row r="241" spans="20:23">
      <c r="T241" s="220">
        <v>43669</v>
      </c>
      <c r="U241" s="220"/>
      <c r="V241" s="221">
        <v>213</v>
      </c>
      <c r="W241" s="221"/>
    </row>
    <row r="242" spans="20:23">
      <c r="T242" s="220">
        <v>43668</v>
      </c>
      <c r="U242" s="220"/>
      <c r="V242" s="221">
        <v>216</v>
      </c>
      <c r="W242" s="221"/>
    </row>
    <row r="243" spans="20:23">
      <c r="T243" s="220">
        <v>43665</v>
      </c>
      <c r="U243" s="220"/>
      <c r="V243" s="221">
        <v>220</v>
      </c>
      <c r="W243" s="221"/>
    </row>
    <row r="244" spans="20:23">
      <c r="T244" s="220">
        <v>43664</v>
      </c>
      <c r="U244" s="220"/>
      <c r="V244" s="221">
        <v>222</v>
      </c>
      <c r="W244" s="221"/>
    </row>
    <row r="245" spans="20:23">
      <c r="T245" s="220">
        <v>43663</v>
      </c>
      <c r="U245" s="220"/>
      <c r="V245" s="221">
        <v>221</v>
      </c>
      <c r="W245" s="221"/>
    </row>
    <row r="246" spans="20:23">
      <c r="T246" s="220">
        <v>43662</v>
      </c>
      <c r="U246" s="220"/>
      <c r="V246" s="221">
        <v>215</v>
      </c>
      <c r="W246" s="221"/>
    </row>
    <row r="247" spans="20:23">
      <c r="T247" s="220">
        <v>43661</v>
      </c>
      <c r="U247" s="220"/>
      <c r="V247" s="221">
        <v>217</v>
      </c>
      <c r="W247" s="221"/>
    </row>
    <row r="248" spans="20:23">
      <c r="T248" s="220">
        <v>43658</v>
      </c>
      <c r="U248" s="220"/>
      <c r="V248" s="221">
        <v>217</v>
      </c>
      <c r="W248" s="221"/>
    </row>
    <row r="249" spans="20:23">
      <c r="T249" s="220">
        <v>43657</v>
      </c>
      <c r="U249" s="220"/>
      <c r="V249" s="221">
        <v>218</v>
      </c>
      <c r="W249" s="221"/>
    </row>
    <row r="250" spans="20:23">
      <c r="T250" s="220">
        <v>43656</v>
      </c>
      <c r="U250" s="220"/>
      <c r="V250" s="221">
        <v>224</v>
      </c>
      <c r="W250" s="221"/>
    </row>
    <row r="251" spans="20:23">
      <c r="T251" s="220">
        <v>43655</v>
      </c>
      <c r="U251" s="220"/>
      <c r="V251" s="221">
        <v>228</v>
      </c>
      <c r="W251" s="221"/>
    </row>
    <row r="252" spans="20:23">
      <c r="T252" s="220">
        <v>43654</v>
      </c>
      <c r="U252" s="220"/>
      <c r="V252" s="221">
        <v>232</v>
      </c>
      <c r="W252" s="221"/>
    </row>
    <row r="253" spans="20:23">
      <c r="T253" s="220">
        <v>43651</v>
      </c>
      <c r="U253" s="220"/>
      <c r="V253" s="221">
        <v>233</v>
      </c>
      <c r="W253" s="221"/>
    </row>
    <row r="254" spans="20:23">
      <c r="T254" s="220">
        <v>43650</v>
      </c>
      <c r="U254" s="220"/>
      <c r="V254" s="221">
        <v>238</v>
      </c>
      <c r="W254" s="221"/>
    </row>
    <row r="255" spans="20:23">
      <c r="T255" s="220">
        <v>43649</v>
      </c>
      <c r="U255" s="220"/>
      <c r="V255" s="221">
        <v>238</v>
      </c>
      <c r="W255" s="221"/>
    </row>
    <row r="256" spans="20:23">
      <c r="T256" s="220">
        <v>43648</v>
      </c>
      <c r="U256" s="220"/>
      <c r="V256" s="221">
        <v>238</v>
      </c>
      <c r="W256" s="221"/>
    </row>
    <row r="257" spans="20:23">
      <c r="T257" s="220">
        <v>43647</v>
      </c>
      <c r="U257" s="220"/>
      <c r="V257" s="221">
        <v>234</v>
      </c>
      <c r="W257" s="221"/>
    </row>
    <row r="258" spans="20:23">
      <c r="T258" s="220">
        <v>43644</v>
      </c>
      <c r="U258" s="220"/>
      <c r="V258" s="221">
        <v>239</v>
      </c>
      <c r="W258" s="221"/>
    </row>
    <row r="259" spans="20:23">
      <c r="T259" s="220">
        <v>43643</v>
      </c>
      <c r="U259" s="220"/>
      <c r="V259" s="221">
        <v>242</v>
      </c>
      <c r="W259" s="221"/>
    </row>
    <row r="260" spans="20:23">
      <c r="T260" s="220">
        <v>43642</v>
      </c>
      <c r="U260" s="220"/>
      <c r="V260" s="221">
        <v>240</v>
      </c>
      <c r="W260" s="221"/>
    </row>
    <row r="261" spans="20:23">
      <c r="T261" s="220">
        <v>43641</v>
      </c>
      <c r="U261" s="220"/>
      <c r="V261" s="221">
        <v>243</v>
      </c>
      <c r="W261" s="221"/>
    </row>
    <row r="262" spans="20:23">
      <c r="T262" s="220">
        <v>43640</v>
      </c>
      <c r="U262" s="220"/>
      <c r="V262" s="221">
        <v>239</v>
      </c>
      <c r="W262" s="221"/>
    </row>
    <row r="263" spans="20:23">
      <c r="T263" s="220">
        <v>43637</v>
      </c>
      <c r="U263" s="220"/>
      <c r="V263" s="221">
        <v>236</v>
      </c>
      <c r="W263" s="221"/>
    </row>
    <row r="264" spans="20:23">
      <c r="T264" s="220">
        <v>43636</v>
      </c>
      <c r="U264" s="220"/>
      <c r="V264" s="221">
        <v>237</v>
      </c>
      <c r="W264" s="221"/>
    </row>
    <row r="265" spans="20:23">
      <c r="T265" s="220">
        <v>43635</v>
      </c>
      <c r="U265" s="220"/>
      <c r="V265" s="221">
        <v>246</v>
      </c>
      <c r="W265" s="221"/>
    </row>
    <row r="266" spans="20:23">
      <c r="T266" s="220">
        <v>43634</v>
      </c>
      <c r="U266" s="220"/>
      <c r="V266" s="221">
        <v>247</v>
      </c>
      <c r="W266" s="221"/>
    </row>
    <row r="267" spans="20:23">
      <c r="T267" s="220">
        <v>43633</v>
      </c>
      <c r="U267" s="220"/>
      <c r="V267" s="221">
        <v>252</v>
      </c>
      <c r="W267" s="221"/>
    </row>
    <row r="268" spans="20:23">
      <c r="T268" s="220">
        <v>43630</v>
      </c>
      <c r="U268" s="220"/>
      <c r="V268" s="221">
        <v>250</v>
      </c>
      <c r="W268" s="221"/>
    </row>
    <row r="269" spans="20:23">
      <c r="T269" s="220">
        <v>43629</v>
      </c>
      <c r="U269" s="220"/>
      <c r="V269" s="221">
        <v>248</v>
      </c>
      <c r="W269" s="221"/>
    </row>
    <row r="270" spans="20:23">
      <c r="T270" s="220">
        <v>43628</v>
      </c>
      <c r="U270" s="220"/>
      <c r="V270" s="221">
        <v>247</v>
      </c>
      <c r="W270" s="221"/>
    </row>
    <row r="271" spans="20:23">
      <c r="T271" s="220">
        <v>43627</v>
      </c>
      <c r="U271" s="220"/>
      <c r="V271" s="221">
        <v>248</v>
      </c>
      <c r="W271" s="221"/>
    </row>
    <row r="272" spans="20:23">
      <c r="T272" s="220">
        <v>43626</v>
      </c>
      <c r="U272" s="220"/>
      <c r="V272" s="221">
        <v>250</v>
      </c>
      <c r="W272" s="221"/>
    </row>
    <row r="273" spans="20:23">
      <c r="T273" s="220">
        <v>43623</v>
      </c>
      <c r="U273" s="220"/>
      <c r="V273" s="221">
        <v>254</v>
      </c>
      <c r="W273" s="221"/>
    </row>
    <row r="274" spans="20:23">
      <c r="T274" s="220">
        <v>43622</v>
      </c>
      <c r="U274" s="220"/>
      <c r="V274" s="221">
        <v>255</v>
      </c>
      <c r="W274" s="221"/>
    </row>
    <row r="275" spans="20:23">
      <c r="T275" s="220">
        <v>43621</v>
      </c>
      <c r="U275" s="220"/>
      <c r="V275" s="221">
        <v>256</v>
      </c>
      <c r="W275" s="221"/>
    </row>
    <row r="276" spans="20:23">
      <c r="T276" s="220">
        <v>43620</v>
      </c>
      <c r="U276" s="220"/>
      <c r="V276" s="221">
        <v>261</v>
      </c>
      <c r="W276" s="221"/>
    </row>
    <row r="277" spans="20:23">
      <c r="T277" s="220">
        <v>43619</v>
      </c>
      <c r="U277" s="220"/>
      <c r="V277" s="221">
        <v>276</v>
      </c>
      <c r="W277" s="221"/>
    </row>
    <row r="278" spans="20:23">
      <c r="T278" s="220">
        <v>43616</v>
      </c>
      <c r="U278" s="220"/>
      <c r="V278" s="221">
        <v>274</v>
      </c>
      <c r="W278" s="221"/>
    </row>
    <row r="279" spans="20:23">
      <c r="T279" s="220">
        <v>43615</v>
      </c>
      <c r="U279" s="220"/>
      <c r="V279" s="221">
        <v>270</v>
      </c>
      <c r="W279" s="221"/>
    </row>
    <row r="280" spans="20:23">
      <c r="T280" s="220">
        <v>43614</v>
      </c>
      <c r="U280" s="220"/>
      <c r="V280" s="221">
        <v>269</v>
      </c>
      <c r="W280" s="221"/>
    </row>
    <row r="281" spans="20:23">
      <c r="T281" s="220">
        <v>43613</v>
      </c>
      <c r="U281" s="220"/>
      <c r="V281" s="221">
        <v>267</v>
      </c>
      <c r="W281" s="221"/>
    </row>
    <row r="282" spans="20:23">
      <c r="T282" s="220">
        <v>43612</v>
      </c>
      <c r="U282" s="220"/>
      <c r="V282" s="221">
        <v>265</v>
      </c>
      <c r="W282" s="221"/>
    </row>
    <row r="283" spans="20:23">
      <c r="T283" s="220">
        <v>43609</v>
      </c>
      <c r="U283" s="220"/>
      <c r="V283" s="221">
        <v>265</v>
      </c>
      <c r="W283" s="221"/>
    </row>
    <row r="284" spans="20:23">
      <c r="T284" s="220">
        <v>43608</v>
      </c>
      <c r="U284" s="220"/>
      <c r="V284" s="221">
        <v>266</v>
      </c>
      <c r="W284" s="221"/>
    </row>
    <row r="285" spans="20:23">
      <c r="T285" s="220">
        <v>43607</v>
      </c>
      <c r="U285" s="220"/>
      <c r="V285" s="221">
        <v>258</v>
      </c>
      <c r="W285" s="221"/>
    </row>
    <row r="286" spans="20:23">
      <c r="T286" s="220">
        <v>43606</v>
      </c>
      <c r="U286" s="220"/>
      <c r="V286" s="221">
        <v>257</v>
      </c>
      <c r="W286" s="221"/>
    </row>
    <row r="287" spans="20:23">
      <c r="T287" s="220">
        <v>43605</v>
      </c>
      <c r="U287" s="220"/>
      <c r="V287" s="221">
        <v>260</v>
      </c>
      <c r="W287" s="221"/>
    </row>
    <row r="288" spans="20:23">
      <c r="T288" s="220">
        <v>43602</v>
      </c>
      <c r="U288" s="220"/>
      <c r="V288" s="221">
        <v>263</v>
      </c>
      <c r="W288" s="221"/>
    </row>
    <row r="289" spans="20:23">
      <c r="T289" s="220">
        <v>43601</v>
      </c>
      <c r="U289" s="220"/>
      <c r="V289" s="221">
        <v>261</v>
      </c>
      <c r="W289" s="221"/>
    </row>
    <row r="290" spans="20:23">
      <c r="T290" s="220">
        <v>43600</v>
      </c>
      <c r="U290" s="220"/>
      <c r="V290" s="221">
        <v>260</v>
      </c>
      <c r="W290" s="221"/>
    </row>
    <row r="291" spans="20:23">
      <c r="T291" s="220">
        <v>43599</v>
      </c>
      <c r="U291" s="220"/>
      <c r="V291" s="221">
        <v>256</v>
      </c>
      <c r="W291" s="221"/>
    </row>
    <row r="292" spans="20:23">
      <c r="T292" s="220">
        <v>43598</v>
      </c>
      <c r="U292" s="220"/>
      <c r="V292" s="221">
        <v>260</v>
      </c>
      <c r="W292" s="221"/>
    </row>
    <row r="293" spans="20:23">
      <c r="T293" s="220">
        <v>43595</v>
      </c>
      <c r="U293" s="220"/>
      <c r="V293" s="221">
        <v>252</v>
      </c>
      <c r="W293" s="221"/>
    </row>
    <row r="294" spans="20:23">
      <c r="T294" s="220">
        <v>43594</v>
      </c>
      <c r="U294" s="220"/>
      <c r="V294" s="221">
        <v>253</v>
      </c>
      <c r="W294" s="221"/>
    </row>
    <row r="295" spans="20:23">
      <c r="T295" s="220">
        <v>43593</v>
      </c>
      <c r="U295" s="220"/>
      <c r="V295" s="221">
        <v>250</v>
      </c>
      <c r="W295" s="221"/>
    </row>
    <row r="296" spans="20:23">
      <c r="T296" s="220">
        <v>43592</v>
      </c>
      <c r="U296" s="220"/>
      <c r="V296" s="221">
        <v>255</v>
      </c>
      <c r="W296" s="221"/>
    </row>
    <row r="297" spans="20:23">
      <c r="T297" s="220">
        <v>43591</v>
      </c>
      <c r="U297" s="220"/>
      <c r="V297" s="221">
        <v>250</v>
      </c>
      <c r="W297" s="221"/>
    </row>
    <row r="298" spans="20:23">
      <c r="T298" s="220">
        <v>43588</v>
      </c>
      <c r="U298" s="220"/>
      <c r="V298" s="221">
        <v>248</v>
      </c>
      <c r="W298" s="221"/>
    </row>
    <row r="299" spans="20:23">
      <c r="T299" s="220">
        <v>43587</v>
      </c>
      <c r="U299" s="220"/>
      <c r="V299" s="221">
        <v>250</v>
      </c>
      <c r="W299" s="221"/>
    </row>
    <row r="300" spans="20:23">
      <c r="T300" s="220">
        <v>43586</v>
      </c>
      <c r="U300" s="220"/>
      <c r="V300" s="221">
        <v>250</v>
      </c>
      <c r="W300" s="221"/>
    </row>
    <row r="301" spans="20:23">
      <c r="T301" s="220">
        <v>43585</v>
      </c>
      <c r="U301" s="220"/>
      <c r="V301" s="221">
        <v>252</v>
      </c>
      <c r="W301" s="221"/>
    </row>
    <row r="302" spans="20:23">
      <c r="T302" s="220">
        <v>43584</v>
      </c>
      <c r="U302" s="220"/>
      <c r="V302" s="221">
        <v>248</v>
      </c>
      <c r="W302" s="221"/>
    </row>
    <row r="303" spans="20:23">
      <c r="T303" s="220">
        <v>43581</v>
      </c>
      <c r="U303" s="220"/>
      <c r="V303" s="221">
        <v>252</v>
      </c>
      <c r="W303" s="221"/>
    </row>
    <row r="304" spans="20:23">
      <c r="T304" s="220">
        <v>43580</v>
      </c>
      <c r="U304" s="220"/>
      <c r="V304" s="221">
        <v>252</v>
      </c>
      <c r="W304" s="221"/>
    </row>
    <row r="305" spans="20:23">
      <c r="T305" s="220">
        <v>43579</v>
      </c>
      <c r="U305" s="220"/>
      <c r="V305" s="221">
        <v>251</v>
      </c>
      <c r="W305" s="221"/>
    </row>
    <row r="306" spans="20:23">
      <c r="T306" s="220">
        <v>43578</v>
      </c>
      <c r="U306" s="220"/>
      <c r="V306" s="221">
        <v>247</v>
      </c>
      <c r="W306" s="221"/>
    </row>
    <row r="307" spans="20:23">
      <c r="T307" s="220">
        <v>43577</v>
      </c>
      <c r="U307" s="220"/>
      <c r="V307" s="221">
        <v>250</v>
      </c>
      <c r="W307" s="221"/>
    </row>
    <row r="308" spans="20:23">
      <c r="T308" s="220">
        <v>43574</v>
      </c>
      <c r="U308" s="220"/>
      <c r="V308" s="221">
        <v>253</v>
      </c>
      <c r="W308" s="221"/>
    </row>
    <row r="309" spans="20:23">
      <c r="T309" s="220">
        <v>43573</v>
      </c>
      <c r="U309" s="220"/>
      <c r="V309" s="221">
        <v>253</v>
      </c>
      <c r="W309" s="221"/>
    </row>
    <row r="310" spans="20:23">
      <c r="T310" s="220">
        <v>43572</v>
      </c>
      <c r="U310" s="220"/>
      <c r="V310" s="221">
        <v>249</v>
      </c>
      <c r="W310" s="221"/>
    </row>
    <row r="311" spans="20:23">
      <c r="T311" s="220">
        <v>43571</v>
      </c>
      <c r="U311" s="220"/>
      <c r="V311" s="221">
        <v>248</v>
      </c>
      <c r="W311" s="221"/>
    </row>
    <row r="312" spans="20:23">
      <c r="T312" s="220">
        <v>43570</v>
      </c>
      <c r="U312" s="220"/>
      <c r="V312" s="221">
        <v>254</v>
      </c>
      <c r="W312" s="221"/>
    </row>
    <row r="313" spans="20:23">
      <c r="T313" s="220">
        <v>43567</v>
      </c>
      <c r="U313" s="220"/>
      <c r="V313" s="221">
        <v>252</v>
      </c>
      <c r="W313" s="221"/>
    </row>
    <row r="314" spans="20:23">
      <c r="T314" s="220">
        <v>43566</v>
      </c>
      <c r="U314" s="220"/>
      <c r="V314" s="221">
        <v>253</v>
      </c>
      <c r="W314" s="221"/>
    </row>
    <row r="315" spans="20:23">
      <c r="T315" s="220">
        <v>43565</v>
      </c>
      <c r="U315" s="220"/>
      <c r="V315" s="221">
        <v>253</v>
      </c>
      <c r="W315" s="221"/>
    </row>
    <row r="316" spans="20:23">
      <c r="T316" s="220">
        <v>43564</v>
      </c>
      <c r="U316" s="220"/>
      <c r="V316" s="221">
        <v>251</v>
      </c>
      <c r="W316" s="221"/>
    </row>
    <row r="317" spans="20:23">
      <c r="T317" s="220">
        <v>43563</v>
      </c>
      <c r="U317" s="220"/>
      <c r="V317" s="221">
        <v>250</v>
      </c>
      <c r="W317" s="221"/>
    </row>
    <row r="318" spans="20:23">
      <c r="T318" s="220">
        <v>43560</v>
      </c>
      <c r="U318" s="220"/>
      <c r="V318" s="221">
        <v>250</v>
      </c>
      <c r="W318" s="221"/>
    </row>
    <row r="319" spans="20:23">
      <c r="T319" s="220">
        <v>43559</v>
      </c>
      <c r="U319" s="220"/>
      <c r="V319" s="221">
        <v>250</v>
      </c>
      <c r="W319" s="221"/>
    </row>
    <row r="320" spans="20:23">
      <c r="T320" s="220">
        <v>43558</v>
      </c>
      <c r="U320" s="220"/>
      <c r="V320" s="221">
        <v>249</v>
      </c>
      <c r="W320" s="221"/>
    </row>
    <row r="321" spans="20:23">
      <c r="T321" s="220">
        <v>43557</v>
      </c>
      <c r="U321" s="220"/>
      <c r="V321" s="221">
        <v>253</v>
      </c>
      <c r="W321" s="221"/>
    </row>
    <row r="322" spans="20:23">
      <c r="T322" s="220">
        <v>43556</v>
      </c>
      <c r="U322" s="220"/>
      <c r="V322" s="221">
        <v>248</v>
      </c>
      <c r="W322" s="221"/>
    </row>
    <row r="323" spans="20:23">
      <c r="T323" s="220">
        <v>43553</v>
      </c>
      <c r="U323" s="220"/>
      <c r="V323" s="221">
        <v>253</v>
      </c>
      <c r="W323" s="221"/>
    </row>
    <row r="324" spans="20:23">
      <c r="T324" s="220">
        <v>43552</v>
      </c>
      <c r="U324" s="220"/>
      <c r="V324" s="221">
        <v>258</v>
      </c>
      <c r="W324" s="221"/>
    </row>
    <row r="325" spans="20:23">
      <c r="T325" s="220">
        <v>43551</v>
      </c>
      <c r="U325" s="220"/>
      <c r="V325" s="221">
        <v>262</v>
      </c>
      <c r="W325" s="221"/>
    </row>
    <row r="326" spans="20:23">
      <c r="T326" s="220">
        <v>43550</v>
      </c>
      <c r="U326" s="220"/>
      <c r="V326" s="221">
        <v>255</v>
      </c>
      <c r="W326" s="221"/>
    </row>
    <row r="327" spans="20:23">
      <c r="T327" s="220">
        <v>43549</v>
      </c>
      <c r="U327" s="220"/>
      <c r="V327" s="221">
        <v>255</v>
      </c>
      <c r="W327" s="221"/>
    </row>
    <row r="328" spans="20:23">
      <c r="T328" s="220">
        <v>43546</v>
      </c>
      <c r="U328" s="220"/>
      <c r="V328" s="221">
        <v>255</v>
      </c>
      <c r="W328" s="221"/>
    </row>
    <row r="329" spans="20:23">
      <c r="T329" s="220">
        <v>43545</v>
      </c>
      <c r="U329" s="220"/>
      <c r="V329" s="221">
        <v>239</v>
      </c>
      <c r="W329" s="221"/>
    </row>
    <row r="330" spans="20:23">
      <c r="T330" s="220">
        <v>43544</v>
      </c>
      <c r="U330" s="220"/>
      <c r="V330" s="221">
        <v>240</v>
      </c>
      <c r="W330" s="221"/>
    </row>
    <row r="331" spans="20:23">
      <c r="T331" s="220">
        <v>43543</v>
      </c>
      <c r="U331" s="220"/>
      <c r="V331" s="221">
        <v>240</v>
      </c>
      <c r="W331" s="221"/>
    </row>
    <row r="332" spans="20:23">
      <c r="T332" s="220">
        <v>43542</v>
      </c>
      <c r="U332" s="220"/>
      <c r="V332" s="221">
        <v>242</v>
      </c>
      <c r="W332" s="221"/>
    </row>
    <row r="333" spans="20:23">
      <c r="T333" s="220">
        <v>43539</v>
      </c>
      <c r="U333" s="220"/>
      <c r="V333" s="221">
        <v>246</v>
      </c>
      <c r="W333" s="221"/>
    </row>
    <row r="334" spans="20:23">
      <c r="T334" s="220">
        <v>43538</v>
      </c>
      <c r="U334" s="220"/>
      <c r="V334" s="221">
        <v>245</v>
      </c>
      <c r="W334" s="221"/>
    </row>
    <row r="335" spans="20:23">
      <c r="T335" s="220">
        <v>43537</v>
      </c>
      <c r="U335" s="220"/>
      <c r="V335" s="221">
        <v>249</v>
      </c>
      <c r="W335" s="221"/>
    </row>
    <row r="336" spans="20:23">
      <c r="T336" s="220">
        <v>43536</v>
      </c>
      <c r="U336" s="220"/>
      <c r="V336" s="221">
        <v>245</v>
      </c>
      <c r="W336" s="221"/>
    </row>
    <row r="337" spans="20:23">
      <c r="T337" s="220">
        <v>43535</v>
      </c>
      <c r="U337" s="220"/>
      <c r="V337" s="221">
        <v>243</v>
      </c>
      <c r="W337" s="221"/>
    </row>
    <row r="338" spans="20:23">
      <c r="T338" s="220">
        <v>43532</v>
      </c>
      <c r="U338" s="220"/>
      <c r="V338" s="221">
        <v>251</v>
      </c>
      <c r="W338" s="221"/>
    </row>
    <row r="339" spans="20:23">
      <c r="T339" s="220">
        <v>43531</v>
      </c>
      <c r="U339" s="220"/>
      <c r="V339" s="221">
        <v>249</v>
      </c>
      <c r="W339" s="221"/>
    </row>
    <row r="340" spans="20:23">
      <c r="T340" s="220">
        <v>43530</v>
      </c>
      <c r="U340" s="220"/>
      <c r="V340" s="221">
        <v>245</v>
      </c>
      <c r="W340" s="221"/>
    </row>
    <row r="341" spans="20:23">
      <c r="T341" s="220">
        <v>43529</v>
      </c>
      <c r="U341" s="220"/>
      <c r="V341" s="221">
        <v>242</v>
      </c>
      <c r="W341" s="221"/>
    </row>
    <row r="342" spans="20:23">
      <c r="T342" s="220">
        <v>43528</v>
      </c>
      <c r="U342" s="220"/>
      <c r="V342" s="221">
        <v>240</v>
      </c>
      <c r="W342" s="221"/>
    </row>
    <row r="343" spans="20:23">
      <c r="T343" s="220">
        <v>43525</v>
      </c>
      <c r="U343" s="220"/>
      <c r="V343" s="221">
        <v>236</v>
      </c>
      <c r="W343" s="221"/>
    </row>
    <row r="344" spans="20:23">
      <c r="T344" s="220">
        <v>43524</v>
      </c>
      <c r="U344" s="220"/>
      <c r="V344" s="221">
        <v>235</v>
      </c>
      <c r="W344" s="221"/>
    </row>
    <row r="345" spans="20:23">
      <c r="T345" s="220">
        <v>43523</v>
      </c>
      <c r="U345" s="220"/>
      <c r="V345" s="221">
        <v>236</v>
      </c>
      <c r="W345" s="221"/>
    </row>
    <row r="346" spans="20:23">
      <c r="T346" s="220">
        <v>43522</v>
      </c>
      <c r="U346" s="220"/>
      <c r="V346" s="221">
        <v>239</v>
      </c>
      <c r="W346" s="221"/>
    </row>
    <row r="347" spans="20:23">
      <c r="T347" s="220">
        <v>43521</v>
      </c>
      <c r="U347" s="220"/>
      <c r="V347" s="221">
        <v>240</v>
      </c>
      <c r="W347" s="221"/>
    </row>
    <row r="348" spans="20:23">
      <c r="T348" s="220">
        <v>43518</v>
      </c>
      <c r="U348" s="220"/>
      <c r="V348" s="221">
        <v>241</v>
      </c>
      <c r="W348" s="221"/>
    </row>
    <row r="349" spans="20:23">
      <c r="T349" s="220">
        <v>43517</v>
      </c>
      <c r="U349" s="220"/>
      <c r="V349" s="221">
        <v>242</v>
      </c>
      <c r="W349" s="221"/>
    </row>
    <row r="350" spans="20:23">
      <c r="T350" s="220">
        <v>43516</v>
      </c>
      <c r="U350" s="220"/>
      <c r="V350" s="221">
        <v>241</v>
      </c>
      <c r="W350" s="221"/>
    </row>
    <row r="351" spans="20:23">
      <c r="T351" s="220">
        <v>43515</v>
      </c>
      <c r="U351" s="220"/>
      <c r="V351" s="221">
        <v>241</v>
      </c>
      <c r="W351" s="221"/>
    </row>
    <row r="352" spans="20:23">
      <c r="T352" s="220">
        <v>43514</v>
      </c>
      <c r="U352" s="220"/>
      <c r="V352" s="221">
        <v>241</v>
      </c>
      <c r="W352" s="221"/>
    </row>
    <row r="353" spans="20:23">
      <c r="T353" s="220">
        <v>43511</v>
      </c>
      <c r="U353" s="220"/>
      <c r="V353" s="221">
        <v>241</v>
      </c>
      <c r="W353" s="221"/>
    </row>
    <row r="354" spans="20:23">
      <c r="T354" s="220">
        <v>43510</v>
      </c>
      <c r="U354" s="220"/>
      <c r="V354" s="221">
        <v>240</v>
      </c>
      <c r="W354" s="221"/>
    </row>
    <row r="355" spans="20:23">
      <c r="T355" s="220">
        <v>43509</v>
      </c>
      <c r="U355" s="220"/>
      <c r="V355" s="221">
        <v>242</v>
      </c>
      <c r="W355" s="221"/>
    </row>
    <row r="356" spans="20:23">
      <c r="T356" s="220">
        <v>43508</v>
      </c>
      <c r="U356" s="220"/>
      <c r="V356" s="221">
        <v>244</v>
      </c>
      <c r="W356" s="221"/>
    </row>
    <row r="357" spans="20:23">
      <c r="T357" s="220">
        <v>43507</v>
      </c>
      <c r="U357" s="220"/>
      <c r="V357" s="221">
        <v>250</v>
      </c>
      <c r="W357" s="221"/>
    </row>
    <row r="358" spans="20:23">
      <c r="T358" s="220">
        <v>43504</v>
      </c>
      <c r="U358" s="220"/>
      <c r="V358" s="221">
        <v>249</v>
      </c>
      <c r="W358" s="221"/>
    </row>
    <row r="359" spans="20:23">
      <c r="T359" s="220">
        <v>43503</v>
      </c>
      <c r="U359" s="220"/>
      <c r="V359" s="221">
        <v>245</v>
      </c>
      <c r="W359" s="221"/>
    </row>
    <row r="360" spans="20:23">
      <c r="T360" s="220">
        <v>43502</v>
      </c>
      <c r="U360" s="220"/>
      <c r="V360" s="221">
        <v>239</v>
      </c>
      <c r="W360" s="221"/>
    </row>
    <row r="361" spans="20:23">
      <c r="T361" s="220">
        <v>43501</v>
      </c>
      <c r="U361" s="220"/>
      <c r="V361" s="221">
        <v>232</v>
      </c>
      <c r="W361" s="221"/>
    </row>
    <row r="362" spans="20:23">
      <c r="T362" s="220">
        <v>43500</v>
      </c>
      <c r="U362" s="220"/>
      <c r="V362" s="221">
        <v>234</v>
      </c>
      <c r="W362" s="221"/>
    </row>
    <row r="363" spans="20:23">
      <c r="T363" s="220">
        <v>43497</v>
      </c>
      <c r="U363" s="220"/>
      <c r="V363" s="221">
        <v>237</v>
      </c>
      <c r="W363" s="221"/>
    </row>
    <row r="364" spans="20:23">
      <c r="T364" s="220">
        <v>43496</v>
      </c>
      <c r="U364" s="220"/>
      <c r="V364" s="221">
        <v>238</v>
      </c>
      <c r="W364" s="221"/>
    </row>
    <row r="365" spans="20:23">
      <c r="T365" s="220">
        <v>43495</v>
      </c>
      <c r="U365" s="220"/>
      <c r="V365" s="221">
        <v>240</v>
      </c>
      <c r="W365" s="221"/>
    </row>
    <row r="366" spans="20:23">
      <c r="T366" s="220">
        <v>43494</v>
      </c>
      <c r="U366" s="220"/>
      <c r="V366" s="221">
        <v>244</v>
      </c>
      <c r="W366" s="221"/>
    </row>
    <row r="367" spans="20:23">
      <c r="T367" s="220">
        <v>43493</v>
      </c>
      <c r="U367" s="220"/>
      <c r="V367" s="221">
        <v>240</v>
      </c>
      <c r="W367" s="221"/>
    </row>
    <row r="368" spans="20:23">
      <c r="T368" s="220">
        <v>43490</v>
      </c>
      <c r="U368" s="220"/>
      <c r="V368" s="221">
        <v>239</v>
      </c>
      <c r="W368" s="221"/>
    </row>
    <row r="369" spans="20:23">
      <c r="T369" s="220">
        <v>43489</v>
      </c>
      <c r="U369" s="220"/>
      <c r="V369" s="221">
        <v>246</v>
      </c>
      <c r="W369" s="221"/>
    </row>
    <row r="370" spans="20:23">
      <c r="T370" s="220">
        <v>43488</v>
      </c>
      <c r="U370" s="220"/>
      <c r="V370" s="221">
        <v>247</v>
      </c>
      <c r="W370" s="221"/>
    </row>
    <row r="371" spans="20:23">
      <c r="T371" s="220">
        <v>43487</v>
      </c>
      <c r="U371" s="220"/>
      <c r="V371" s="221">
        <v>252</v>
      </c>
      <c r="W371" s="221"/>
    </row>
    <row r="372" spans="20:23">
      <c r="T372" s="220">
        <v>43486</v>
      </c>
      <c r="U372" s="220"/>
      <c r="V372" s="221">
        <v>245</v>
      </c>
      <c r="W372" s="221"/>
    </row>
    <row r="373" spans="20:23">
      <c r="T373" s="220">
        <v>43483</v>
      </c>
      <c r="U373" s="220"/>
      <c r="V373" s="221">
        <v>245</v>
      </c>
      <c r="W373" s="221"/>
    </row>
    <row r="374" spans="20:23">
      <c r="T374" s="220">
        <v>43482</v>
      </c>
      <c r="U374" s="220"/>
      <c r="V374" s="221">
        <v>255</v>
      </c>
      <c r="W374" s="221"/>
    </row>
    <row r="375" spans="20:23">
      <c r="T375" s="220">
        <v>43481</v>
      </c>
      <c r="U375" s="220"/>
      <c r="V375" s="221">
        <v>255</v>
      </c>
      <c r="W375" s="221"/>
    </row>
    <row r="376" spans="20:23">
      <c r="T376" s="220">
        <v>43480</v>
      </c>
      <c r="U376" s="220"/>
      <c r="V376" s="221">
        <v>255</v>
      </c>
      <c r="W376" s="221"/>
    </row>
    <row r="377" spans="20:23">
      <c r="T377" s="220">
        <v>43479</v>
      </c>
      <c r="U377" s="220"/>
      <c r="V377" s="221">
        <v>258</v>
      </c>
      <c r="W377" s="221"/>
    </row>
    <row r="378" spans="20:23">
      <c r="T378" s="220">
        <v>43476</v>
      </c>
      <c r="U378" s="220"/>
      <c r="V378" s="221">
        <v>258</v>
      </c>
      <c r="W378" s="221"/>
    </row>
    <row r="379" spans="20:23">
      <c r="T379" s="220">
        <v>43475</v>
      </c>
      <c r="U379" s="220"/>
      <c r="V379" s="221">
        <v>254</v>
      </c>
      <c r="W379" s="221"/>
    </row>
    <row r="380" spans="20:23">
      <c r="T380" s="220">
        <v>43474</v>
      </c>
      <c r="U380" s="220"/>
      <c r="V380" s="221">
        <v>250</v>
      </c>
      <c r="W380" s="221"/>
    </row>
    <row r="381" spans="20:23">
      <c r="T381" s="220">
        <v>43473</v>
      </c>
      <c r="U381" s="220"/>
      <c r="V381" s="221">
        <v>254</v>
      </c>
      <c r="W381" s="221"/>
    </row>
    <row r="382" spans="20:23">
      <c r="T382" s="220">
        <v>43472</v>
      </c>
      <c r="U382" s="220"/>
      <c r="V382" s="221">
        <v>256</v>
      </c>
      <c r="W382" s="221"/>
    </row>
    <row r="383" spans="20:23">
      <c r="T383" s="220">
        <v>43469</v>
      </c>
      <c r="U383" s="220"/>
      <c r="V383" s="221">
        <v>264</v>
      </c>
      <c r="W383" s="221"/>
    </row>
    <row r="384" spans="20:23">
      <c r="T384" s="220">
        <v>43468</v>
      </c>
      <c r="U384" s="220"/>
      <c r="V384" s="221">
        <v>278</v>
      </c>
      <c r="W384" s="221"/>
    </row>
    <row r="385" spans="20:23">
      <c r="T385" s="220">
        <v>43467</v>
      </c>
      <c r="U385" s="220"/>
      <c r="V385" s="221">
        <v>275</v>
      </c>
      <c r="W385" s="221"/>
    </row>
  </sheetData>
  <mergeCells count="785">
    <mergeCell ref="B1:G1"/>
    <mergeCell ref="B2:G2"/>
    <mergeCell ref="B3:E3"/>
    <mergeCell ref="F3:G3"/>
    <mergeCell ref="B4:G4"/>
    <mergeCell ref="B5:G5"/>
    <mergeCell ref="H111:I111"/>
    <mergeCell ref="J111:K111"/>
    <mergeCell ref="A112:E112"/>
    <mergeCell ref="N112:R112"/>
    <mergeCell ref="A117:E117"/>
    <mergeCell ref="T2:U2"/>
    <mergeCell ref="T6:U6"/>
    <mergeCell ref="T10:U10"/>
    <mergeCell ref="T14:U14"/>
    <mergeCell ref="T18:U18"/>
    <mergeCell ref="B6:G6"/>
    <mergeCell ref="B7:G7"/>
    <mergeCell ref="B17:E17"/>
    <mergeCell ref="F17:I17"/>
    <mergeCell ref="J17:M17"/>
    <mergeCell ref="O17:R17"/>
    <mergeCell ref="T22:U22"/>
    <mergeCell ref="T28:U28"/>
    <mergeCell ref="T34:U34"/>
    <mergeCell ref="T40:U40"/>
    <mergeCell ref="T46:U46"/>
    <mergeCell ref="T52:U52"/>
    <mergeCell ref="T58:U58"/>
    <mergeCell ref="T64:U64"/>
    <mergeCell ref="T70:U70"/>
    <mergeCell ref="T76:U76"/>
    <mergeCell ref="T82:U82"/>
    <mergeCell ref="V6:W6"/>
    <mergeCell ref="T7:U7"/>
    <mergeCell ref="V7:W7"/>
    <mergeCell ref="T8:U8"/>
    <mergeCell ref="V8:W8"/>
    <mergeCell ref="T9:U9"/>
    <mergeCell ref="V9:W9"/>
    <mergeCell ref="V2:W2"/>
    <mergeCell ref="T3:U3"/>
    <mergeCell ref="V3:W3"/>
    <mergeCell ref="T4:U4"/>
    <mergeCell ref="V4:W4"/>
    <mergeCell ref="T5:U5"/>
    <mergeCell ref="V5:W5"/>
    <mergeCell ref="V14:W14"/>
    <mergeCell ref="T15:U15"/>
    <mergeCell ref="V15:W15"/>
    <mergeCell ref="T16:U16"/>
    <mergeCell ref="V16:W16"/>
    <mergeCell ref="T17:U17"/>
    <mergeCell ref="V17:W17"/>
    <mergeCell ref="V10:W10"/>
    <mergeCell ref="T11:U11"/>
    <mergeCell ref="V11:W11"/>
    <mergeCell ref="T12:U12"/>
    <mergeCell ref="V12:W12"/>
    <mergeCell ref="T13:U13"/>
    <mergeCell ref="V13:W13"/>
    <mergeCell ref="V22:W22"/>
    <mergeCell ref="T23:U23"/>
    <mergeCell ref="V23:W23"/>
    <mergeCell ref="T24:U24"/>
    <mergeCell ref="V24:W24"/>
    <mergeCell ref="V18:W18"/>
    <mergeCell ref="T19:U19"/>
    <mergeCell ref="V19:W19"/>
    <mergeCell ref="T20:U20"/>
    <mergeCell ref="V20:W20"/>
    <mergeCell ref="T21:U21"/>
    <mergeCell ref="V21:W21"/>
    <mergeCell ref="V28:W28"/>
    <mergeCell ref="T29:U29"/>
    <mergeCell ref="V29:W29"/>
    <mergeCell ref="T30:U30"/>
    <mergeCell ref="V30:W30"/>
    <mergeCell ref="T25:U25"/>
    <mergeCell ref="V25:W25"/>
    <mergeCell ref="T26:U26"/>
    <mergeCell ref="V26:W26"/>
    <mergeCell ref="T27:U27"/>
    <mergeCell ref="V27:W27"/>
    <mergeCell ref="V34:W34"/>
    <mergeCell ref="T35:U35"/>
    <mergeCell ref="V35:W35"/>
    <mergeCell ref="T36:U36"/>
    <mergeCell ref="V36:W36"/>
    <mergeCell ref="T31:U31"/>
    <mergeCell ref="V31:W31"/>
    <mergeCell ref="T32:U32"/>
    <mergeCell ref="V32:W32"/>
    <mergeCell ref="T33:U33"/>
    <mergeCell ref="V33:W33"/>
    <mergeCell ref="V40:W40"/>
    <mergeCell ref="T41:U41"/>
    <mergeCell ref="V41:W41"/>
    <mergeCell ref="T42:U42"/>
    <mergeCell ref="V42:W42"/>
    <mergeCell ref="T37:U37"/>
    <mergeCell ref="V37:W37"/>
    <mergeCell ref="T38:U38"/>
    <mergeCell ref="V38:W38"/>
    <mergeCell ref="T39:U39"/>
    <mergeCell ref="V39:W39"/>
    <mergeCell ref="V46:W46"/>
    <mergeCell ref="T47:U47"/>
    <mergeCell ref="V47:W47"/>
    <mergeCell ref="T48:U48"/>
    <mergeCell ref="V48:W48"/>
    <mergeCell ref="T43:U43"/>
    <mergeCell ref="V43:W43"/>
    <mergeCell ref="T44:U44"/>
    <mergeCell ref="V44:W44"/>
    <mergeCell ref="T45:U45"/>
    <mergeCell ref="V45:W45"/>
    <mergeCell ref="V52:W52"/>
    <mergeCell ref="T53:U53"/>
    <mergeCell ref="V53:W53"/>
    <mergeCell ref="T54:U54"/>
    <mergeCell ref="V54:W54"/>
    <mergeCell ref="T49:U49"/>
    <mergeCell ref="V49:W49"/>
    <mergeCell ref="T50:U50"/>
    <mergeCell ref="V50:W50"/>
    <mergeCell ref="T51:U51"/>
    <mergeCell ref="V51:W51"/>
    <mergeCell ref="V58:W58"/>
    <mergeCell ref="T59:U59"/>
    <mergeCell ref="V59:W59"/>
    <mergeCell ref="T60:U60"/>
    <mergeCell ref="V60:W60"/>
    <mergeCell ref="T55:U55"/>
    <mergeCell ref="V55:W55"/>
    <mergeCell ref="T56:U56"/>
    <mergeCell ref="V56:W56"/>
    <mergeCell ref="T57:U57"/>
    <mergeCell ref="V57:W57"/>
    <mergeCell ref="V64:W64"/>
    <mergeCell ref="T65:U65"/>
    <mergeCell ref="V65:W65"/>
    <mergeCell ref="T66:U66"/>
    <mergeCell ref="V66:W66"/>
    <mergeCell ref="T61:U61"/>
    <mergeCell ref="V61:W61"/>
    <mergeCell ref="T62:U62"/>
    <mergeCell ref="V62:W62"/>
    <mergeCell ref="T63:U63"/>
    <mergeCell ref="V63:W63"/>
    <mergeCell ref="V70:W70"/>
    <mergeCell ref="T71:U71"/>
    <mergeCell ref="V71:W71"/>
    <mergeCell ref="T72:U72"/>
    <mergeCell ref="V72:W72"/>
    <mergeCell ref="T67:U67"/>
    <mergeCell ref="V67:W67"/>
    <mergeCell ref="T68:U68"/>
    <mergeCell ref="V68:W68"/>
    <mergeCell ref="T69:U69"/>
    <mergeCell ref="V69:W69"/>
    <mergeCell ref="V76:W76"/>
    <mergeCell ref="T77:U77"/>
    <mergeCell ref="V77:W77"/>
    <mergeCell ref="T78:U78"/>
    <mergeCell ref="V78:W78"/>
    <mergeCell ref="T73:U73"/>
    <mergeCell ref="V73:W73"/>
    <mergeCell ref="T74:U74"/>
    <mergeCell ref="V74:W74"/>
    <mergeCell ref="T75:U75"/>
    <mergeCell ref="V75:W75"/>
    <mergeCell ref="V82:W82"/>
    <mergeCell ref="T83:U83"/>
    <mergeCell ref="V83:W83"/>
    <mergeCell ref="T84:U84"/>
    <mergeCell ref="V84:W84"/>
    <mergeCell ref="T79:U79"/>
    <mergeCell ref="V79:W79"/>
    <mergeCell ref="T80:U80"/>
    <mergeCell ref="V80:W80"/>
    <mergeCell ref="T81:U81"/>
    <mergeCell ref="V81:W81"/>
    <mergeCell ref="T88:U88"/>
    <mergeCell ref="V88:W88"/>
    <mergeCell ref="T89:U89"/>
    <mergeCell ref="V89:W89"/>
    <mergeCell ref="T90:U90"/>
    <mergeCell ref="V90:W90"/>
    <mergeCell ref="T85:U85"/>
    <mergeCell ref="V85:W85"/>
    <mergeCell ref="T86:U86"/>
    <mergeCell ref="V86:W86"/>
    <mergeCell ref="T87:U87"/>
    <mergeCell ref="V87:W87"/>
    <mergeCell ref="T94:U94"/>
    <mergeCell ref="V94:W94"/>
    <mergeCell ref="T95:U95"/>
    <mergeCell ref="V95:W95"/>
    <mergeCell ref="T96:U96"/>
    <mergeCell ref="V96:W96"/>
    <mergeCell ref="T91:U91"/>
    <mergeCell ref="V91:W91"/>
    <mergeCell ref="T92:U92"/>
    <mergeCell ref="V92:W92"/>
    <mergeCell ref="T93:U93"/>
    <mergeCell ref="V93:W93"/>
    <mergeCell ref="T100:U100"/>
    <mergeCell ref="V100:W100"/>
    <mergeCell ref="T101:U101"/>
    <mergeCell ref="V101:W101"/>
    <mergeCell ref="T102:U102"/>
    <mergeCell ref="V102:W102"/>
    <mergeCell ref="T97:U97"/>
    <mergeCell ref="V97:W97"/>
    <mergeCell ref="T98:U98"/>
    <mergeCell ref="V98:W98"/>
    <mergeCell ref="T99:U99"/>
    <mergeCell ref="V99:W99"/>
    <mergeCell ref="T106:U106"/>
    <mergeCell ref="V106:W106"/>
    <mergeCell ref="T107:U107"/>
    <mergeCell ref="V107:W107"/>
    <mergeCell ref="T108:U108"/>
    <mergeCell ref="V108:W108"/>
    <mergeCell ref="T103:U103"/>
    <mergeCell ref="V103:W103"/>
    <mergeCell ref="T104:U104"/>
    <mergeCell ref="V104:W104"/>
    <mergeCell ref="T105:U105"/>
    <mergeCell ref="V105:W105"/>
    <mergeCell ref="T112:U112"/>
    <mergeCell ref="V112:W112"/>
    <mergeCell ref="T113:U113"/>
    <mergeCell ref="V113:W113"/>
    <mergeCell ref="T114:U114"/>
    <mergeCell ref="V114:W114"/>
    <mergeCell ref="T109:U109"/>
    <mergeCell ref="V109:W109"/>
    <mergeCell ref="T110:U110"/>
    <mergeCell ref="V110:W110"/>
    <mergeCell ref="T111:U111"/>
    <mergeCell ref="V111:W111"/>
    <mergeCell ref="T118:U118"/>
    <mergeCell ref="V118:W118"/>
    <mergeCell ref="T119:U119"/>
    <mergeCell ref="V119:W119"/>
    <mergeCell ref="T120:U120"/>
    <mergeCell ref="V120:W120"/>
    <mergeCell ref="T115:U115"/>
    <mergeCell ref="V115:W115"/>
    <mergeCell ref="T116:U116"/>
    <mergeCell ref="V116:W116"/>
    <mergeCell ref="T117:U117"/>
    <mergeCell ref="V117:W117"/>
    <mergeCell ref="T124:U124"/>
    <mergeCell ref="V124:W124"/>
    <mergeCell ref="T125:U125"/>
    <mergeCell ref="V125:W125"/>
    <mergeCell ref="T126:U126"/>
    <mergeCell ref="V126:W126"/>
    <mergeCell ref="T121:U121"/>
    <mergeCell ref="V121:W121"/>
    <mergeCell ref="T122:U122"/>
    <mergeCell ref="V122:W122"/>
    <mergeCell ref="T123:U123"/>
    <mergeCell ref="V123:W123"/>
    <mergeCell ref="T130:U130"/>
    <mergeCell ref="V130:W130"/>
    <mergeCell ref="T131:U131"/>
    <mergeCell ref="V131:W131"/>
    <mergeCell ref="T132:U132"/>
    <mergeCell ref="V132:W132"/>
    <mergeCell ref="T127:U127"/>
    <mergeCell ref="V127:W127"/>
    <mergeCell ref="T128:U128"/>
    <mergeCell ref="V128:W128"/>
    <mergeCell ref="T129:U129"/>
    <mergeCell ref="V129:W129"/>
    <mergeCell ref="T136:U136"/>
    <mergeCell ref="V136:W136"/>
    <mergeCell ref="T137:U137"/>
    <mergeCell ref="V137:W137"/>
    <mergeCell ref="T138:U138"/>
    <mergeCell ref="V138:W138"/>
    <mergeCell ref="T133:U133"/>
    <mergeCell ref="V133:W133"/>
    <mergeCell ref="T134:U134"/>
    <mergeCell ref="V134:W134"/>
    <mergeCell ref="T135:U135"/>
    <mergeCell ref="V135:W135"/>
    <mergeCell ref="T142:U142"/>
    <mergeCell ref="V142:W142"/>
    <mergeCell ref="T143:U143"/>
    <mergeCell ref="V143:W143"/>
    <mergeCell ref="T144:U144"/>
    <mergeCell ref="V144:W144"/>
    <mergeCell ref="T139:U139"/>
    <mergeCell ref="V139:W139"/>
    <mergeCell ref="T140:U140"/>
    <mergeCell ref="V140:W140"/>
    <mergeCell ref="T141:U141"/>
    <mergeCell ref="V141:W141"/>
    <mergeCell ref="T148:U148"/>
    <mergeCell ref="V148:W148"/>
    <mergeCell ref="T149:U149"/>
    <mergeCell ref="V149:W149"/>
    <mergeCell ref="T150:U150"/>
    <mergeCell ref="V150:W150"/>
    <mergeCell ref="T145:U145"/>
    <mergeCell ref="V145:W145"/>
    <mergeCell ref="T146:U146"/>
    <mergeCell ref="V146:W146"/>
    <mergeCell ref="T147:U147"/>
    <mergeCell ref="V147:W147"/>
    <mergeCell ref="T154:U154"/>
    <mergeCell ref="V154:W154"/>
    <mergeCell ref="T155:U155"/>
    <mergeCell ref="V155:W155"/>
    <mergeCell ref="T156:U156"/>
    <mergeCell ref="V156:W156"/>
    <mergeCell ref="T151:U151"/>
    <mergeCell ref="V151:W151"/>
    <mergeCell ref="T152:U152"/>
    <mergeCell ref="V152:W152"/>
    <mergeCell ref="T153:U153"/>
    <mergeCell ref="V153:W153"/>
    <mergeCell ref="T160:U160"/>
    <mergeCell ref="V160:W160"/>
    <mergeCell ref="T161:U161"/>
    <mergeCell ref="V161:W161"/>
    <mergeCell ref="T162:U162"/>
    <mergeCell ref="V162:W162"/>
    <mergeCell ref="T157:U157"/>
    <mergeCell ref="V157:W157"/>
    <mergeCell ref="T158:U158"/>
    <mergeCell ref="V158:W158"/>
    <mergeCell ref="T159:U159"/>
    <mergeCell ref="V159:W159"/>
    <mergeCell ref="T166:U166"/>
    <mergeCell ref="V166:W166"/>
    <mergeCell ref="T167:U167"/>
    <mergeCell ref="V167:W167"/>
    <mergeCell ref="T168:U168"/>
    <mergeCell ref="V168:W168"/>
    <mergeCell ref="T163:U163"/>
    <mergeCell ref="V163:W163"/>
    <mergeCell ref="T164:U164"/>
    <mergeCell ref="V164:W164"/>
    <mergeCell ref="T165:U165"/>
    <mergeCell ref="V165:W165"/>
    <mergeCell ref="T172:U172"/>
    <mergeCell ref="V172:W172"/>
    <mergeCell ref="T173:U173"/>
    <mergeCell ref="V173:W173"/>
    <mergeCell ref="T174:U174"/>
    <mergeCell ref="V174:W174"/>
    <mergeCell ref="T169:U169"/>
    <mergeCell ref="V169:W169"/>
    <mergeCell ref="T170:U170"/>
    <mergeCell ref="V170:W170"/>
    <mergeCell ref="T171:U171"/>
    <mergeCell ref="V171:W171"/>
    <mergeCell ref="T178:U178"/>
    <mergeCell ref="V178:W178"/>
    <mergeCell ref="T179:U179"/>
    <mergeCell ref="V179:W179"/>
    <mergeCell ref="T180:U180"/>
    <mergeCell ref="V180:W180"/>
    <mergeCell ref="T175:U175"/>
    <mergeCell ref="V175:W175"/>
    <mergeCell ref="T176:U176"/>
    <mergeCell ref="V176:W176"/>
    <mergeCell ref="T177:U177"/>
    <mergeCell ref="V177:W177"/>
    <mergeCell ref="T184:U184"/>
    <mergeCell ref="V184:W184"/>
    <mergeCell ref="T185:U185"/>
    <mergeCell ref="V185:W185"/>
    <mergeCell ref="T186:U186"/>
    <mergeCell ref="V186:W186"/>
    <mergeCell ref="T181:U181"/>
    <mergeCell ref="V181:W181"/>
    <mergeCell ref="T182:U182"/>
    <mergeCell ref="V182:W182"/>
    <mergeCell ref="T183:U183"/>
    <mergeCell ref="V183:W183"/>
    <mergeCell ref="T190:U190"/>
    <mergeCell ref="V190:W190"/>
    <mergeCell ref="T191:U191"/>
    <mergeCell ref="V191:W191"/>
    <mergeCell ref="T192:U192"/>
    <mergeCell ref="V192:W192"/>
    <mergeCell ref="T187:U187"/>
    <mergeCell ref="V187:W187"/>
    <mergeCell ref="T188:U188"/>
    <mergeCell ref="V188:W188"/>
    <mergeCell ref="T189:U189"/>
    <mergeCell ref="V189:W189"/>
    <mergeCell ref="T196:U196"/>
    <mergeCell ref="V196:W196"/>
    <mergeCell ref="T197:U197"/>
    <mergeCell ref="V197:W197"/>
    <mergeCell ref="T198:U198"/>
    <mergeCell ref="V198:W198"/>
    <mergeCell ref="T193:U193"/>
    <mergeCell ref="V193:W193"/>
    <mergeCell ref="T194:U194"/>
    <mergeCell ref="V194:W194"/>
    <mergeCell ref="T195:U195"/>
    <mergeCell ref="V195:W195"/>
    <mergeCell ref="T202:U202"/>
    <mergeCell ref="V202:W202"/>
    <mergeCell ref="T203:U203"/>
    <mergeCell ref="V203:W203"/>
    <mergeCell ref="T204:U204"/>
    <mergeCell ref="V204:W204"/>
    <mergeCell ref="T199:U199"/>
    <mergeCell ref="V199:W199"/>
    <mergeCell ref="T200:U200"/>
    <mergeCell ref="V200:W200"/>
    <mergeCell ref="T201:U201"/>
    <mergeCell ref="V201:W201"/>
    <mergeCell ref="T208:U208"/>
    <mergeCell ref="V208:W208"/>
    <mergeCell ref="T209:U209"/>
    <mergeCell ref="V209:W209"/>
    <mergeCell ref="T210:U210"/>
    <mergeCell ref="V210:W210"/>
    <mergeCell ref="T205:U205"/>
    <mergeCell ref="V205:W205"/>
    <mergeCell ref="T206:U206"/>
    <mergeCell ref="V206:W206"/>
    <mergeCell ref="T207:U207"/>
    <mergeCell ref="V207:W207"/>
    <mergeCell ref="T214:U214"/>
    <mergeCell ref="V214:W214"/>
    <mergeCell ref="T215:U215"/>
    <mergeCell ref="V215:W215"/>
    <mergeCell ref="T216:U216"/>
    <mergeCell ref="V216:W216"/>
    <mergeCell ref="T211:U211"/>
    <mergeCell ref="V211:W211"/>
    <mergeCell ref="T212:U212"/>
    <mergeCell ref="V212:W212"/>
    <mergeCell ref="T213:U213"/>
    <mergeCell ref="V213:W213"/>
    <mergeCell ref="T220:U220"/>
    <mergeCell ref="V220:W220"/>
    <mergeCell ref="T221:U221"/>
    <mergeCell ref="V221:W221"/>
    <mergeCell ref="T222:U222"/>
    <mergeCell ref="V222:W222"/>
    <mergeCell ref="T217:U217"/>
    <mergeCell ref="V217:W217"/>
    <mergeCell ref="T218:U218"/>
    <mergeCell ref="V218:W218"/>
    <mergeCell ref="T219:U219"/>
    <mergeCell ref="V219:W219"/>
    <mergeCell ref="T226:U226"/>
    <mergeCell ref="V226:W226"/>
    <mergeCell ref="T227:U227"/>
    <mergeCell ref="V227:W227"/>
    <mergeCell ref="T228:U228"/>
    <mergeCell ref="V228:W228"/>
    <mergeCell ref="T223:U223"/>
    <mergeCell ref="V223:W223"/>
    <mergeCell ref="T224:U224"/>
    <mergeCell ref="V224:W224"/>
    <mergeCell ref="T225:U225"/>
    <mergeCell ref="V225:W225"/>
    <mergeCell ref="T232:U232"/>
    <mergeCell ref="V232:W232"/>
    <mergeCell ref="T233:U233"/>
    <mergeCell ref="V233:W233"/>
    <mergeCell ref="T234:U234"/>
    <mergeCell ref="V234:W234"/>
    <mergeCell ref="T229:U229"/>
    <mergeCell ref="V229:W229"/>
    <mergeCell ref="T230:U230"/>
    <mergeCell ref="V230:W230"/>
    <mergeCell ref="T231:U231"/>
    <mergeCell ref="V231:W231"/>
    <mergeCell ref="T238:U238"/>
    <mergeCell ref="V238:W238"/>
    <mergeCell ref="T239:U239"/>
    <mergeCell ref="V239:W239"/>
    <mergeCell ref="T240:U240"/>
    <mergeCell ref="V240:W240"/>
    <mergeCell ref="T235:U235"/>
    <mergeCell ref="V235:W235"/>
    <mergeCell ref="T236:U236"/>
    <mergeCell ref="V236:W236"/>
    <mergeCell ref="T237:U237"/>
    <mergeCell ref="V237:W237"/>
    <mergeCell ref="T244:U244"/>
    <mergeCell ref="V244:W244"/>
    <mergeCell ref="T245:U245"/>
    <mergeCell ref="V245:W245"/>
    <mergeCell ref="T246:U246"/>
    <mergeCell ref="V246:W246"/>
    <mergeCell ref="T241:U241"/>
    <mergeCell ref="V241:W241"/>
    <mergeCell ref="T242:U242"/>
    <mergeCell ref="V242:W242"/>
    <mergeCell ref="T243:U243"/>
    <mergeCell ref="V243:W243"/>
    <mergeCell ref="T250:U250"/>
    <mergeCell ref="V250:W250"/>
    <mergeCell ref="T251:U251"/>
    <mergeCell ref="V251:W251"/>
    <mergeCell ref="T252:U252"/>
    <mergeCell ref="V252:W252"/>
    <mergeCell ref="T247:U247"/>
    <mergeCell ref="V247:W247"/>
    <mergeCell ref="T248:U248"/>
    <mergeCell ref="V248:W248"/>
    <mergeCell ref="T249:U249"/>
    <mergeCell ref="V249:W249"/>
    <mergeCell ref="T256:U256"/>
    <mergeCell ref="V256:W256"/>
    <mergeCell ref="T257:U257"/>
    <mergeCell ref="V257:W257"/>
    <mergeCell ref="T258:U258"/>
    <mergeCell ref="V258:W258"/>
    <mergeCell ref="T253:U253"/>
    <mergeCell ref="V253:W253"/>
    <mergeCell ref="T254:U254"/>
    <mergeCell ref="V254:W254"/>
    <mergeCell ref="T255:U255"/>
    <mergeCell ref="V255:W255"/>
    <mergeCell ref="T262:U262"/>
    <mergeCell ref="V262:W262"/>
    <mergeCell ref="T263:U263"/>
    <mergeCell ref="V263:W263"/>
    <mergeCell ref="T264:U264"/>
    <mergeCell ref="V264:W264"/>
    <mergeCell ref="T259:U259"/>
    <mergeCell ref="V259:W259"/>
    <mergeCell ref="T260:U260"/>
    <mergeCell ref="V260:W260"/>
    <mergeCell ref="T261:U261"/>
    <mergeCell ref="V261:W261"/>
    <mergeCell ref="T268:U268"/>
    <mergeCell ref="V268:W268"/>
    <mergeCell ref="T269:U269"/>
    <mergeCell ref="V269:W269"/>
    <mergeCell ref="T270:U270"/>
    <mergeCell ref="V270:W270"/>
    <mergeCell ref="T265:U265"/>
    <mergeCell ref="V265:W265"/>
    <mergeCell ref="T266:U266"/>
    <mergeCell ref="V266:W266"/>
    <mergeCell ref="T267:U267"/>
    <mergeCell ref="V267:W267"/>
    <mergeCell ref="T274:U274"/>
    <mergeCell ref="V274:W274"/>
    <mergeCell ref="T275:U275"/>
    <mergeCell ref="V275:W275"/>
    <mergeCell ref="T276:U276"/>
    <mergeCell ref="V276:W276"/>
    <mergeCell ref="T271:U271"/>
    <mergeCell ref="V271:W271"/>
    <mergeCell ref="T272:U272"/>
    <mergeCell ref="V272:W272"/>
    <mergeCell ref="T273:U273"/>
    <mergeCell ref="V273:W273"/>
    <mergeCell ref="T280:U280"/>
    <mergeCell ref="V280:W280"/>
    <mergeCell ref="T281:U281"/>
    <mergeCell ref="V281:W281"/>
    <mergeCell ref="T282:U282"/>
    <mergeCell ref="V282:W282"/>
    <mergeCell ref="T277:U277"/>
    <mergeCell ref="V277:W277"/>
    <mergeCell ref="T278:U278"/>
    <mergeCell ref="V278:W278"/>
    <mergeCell ref="T279:U279"/>
    <mergeCell ref="V279:W279"/>
    <mergeCell ref="T286:U286"/>
    <mergeCell ref="V286:W286"/>
    <mergeCell ref="T287:U287"/>
    <mergeCell ref="V287:W287"/>
    <mergeCell ref="T288:U288"/>
    <mergeCell ref="V288:W288"/>
    <mergeCell ref="T283:U283"/>
    <mergeCell ref="V283:W283"/>
    <mergeCell ref="T284:U284"/>
    <mergeCell ref="V284:W284"/>
    <mergeCell ref="T285:U285"/>
    <mergeCell ref="V285:W285"/>
    <mergeCell ref="T292:U292"/>
    <mergeCell ref="V292:W292"/>
    <mergeCell ref="T293:U293"/>
    <mergeCell ref="V293:W293"/>
    <mergeCell ref="T294:U294"/>
    <mergeCell ref="V294:W294"/>
    <mergeCell ref="T289:U289"/>
    <mergeCell ref="V289:W289"/>
    <mergeCell ref="T290:U290"/>
    <mergeCell ref="V290:W290"/>
    <mergeCell ref="T291:U291"/>
    <mergeCell ref="V291:W291"/>
    <mergeCell ref="T298:U298"/>
    <mergeCell ref="V298:W298"/>
    <mergeCell ref="T299:U299"/>
    <mergeCell ref="V299:W299"/>
    <mergeCell ref="T300:U300"/>
    <mergeCell ref="V300:W300"/>
    <mergeCell ref="T295:U295"/>
    <mergeCell ref="V295:W295"/>
    <mergeCell ref="T296:U296"/>
    <mergeCell ref="V296:W296"/>
    <mergeCell ref="T297:U297"/>
    <mergeCell ref="V297:W297"/>
    <mergeCell ref="T304:U304"/>
    <mergeCell ref="V304:W304"/>
    <mergeCell ref="T305:U305"/>
    <mergeCell ref="V305:W305"/>
    <mergeCell ref="T306:U306"/>
    <mergeCell ref="V306:W306"/>
    <mergeCell ref="T301:U301"/>
    <mergeCell ref="V301:W301"/>
    <mergeCell ref="T302:U302"/>
    <mergeCell ref="V302:W302"/>
    <mergeCell ref="T303:U303"/>
    <mergeCell ref="V303:W303"/>
    <mergeCell ref="T310:U310"/>
    <mergeCell ref="V310:W310"/>
    <mergeCell ref="T311:U311"/>
    <mergeCell ref="V311:W311"/>
    <mergeCell ref="T312:U312"/>
    <mergeCell ref="V312:W312"/>
    <mergeCell ref="T307:U307"/>
    <mergeCell ref="V307:W307"/>
    <mergeCell ref="T308:U308"/>
    <mergeCell ref="V308:W308"/>
    <mergeCell ref="T309:U309"/>
    <mergeCell ref="V309:W309"/>
    <mergeCell ref="T316:U316"/>
    <mergeCell ref="V316:W316"/>
    <mergeCell ref="T317:U317"/>
    <mergeCell ref="V317:W317"/>
    <mergeCell ref="T318:U318"/>
    <mergeCell ref="V318:W318"/>
    <mergeCell ref="T313:U313"/>
    <mergeCell ref="V313:W313"/>
    <mergeCell ref="T314:U314"/>
    <mergeCell ref="V314:W314"/>
    <mergeCell ref="T315:U315"/>
    <mergeCell ref="V315:W315"/>
    <mergeCell ref="T322:U322"/>
    <mergeCell ref="V322:W322"/>
    <mergeCell ref="T323:U323"/>
    <mergeCell ref="V323:W323"/>
    <mergeCell ref="T324:U324"/>
    <mergeCell ref="V324:W324"/>
    <mergeCell ref="T319:U319"/>
    <mergeCell ref="V319:W319"/>
    <mergeCell ref="T320:U320"/>
    <mergeCell ref="V320:W320"/>
    <mergeCell ref="T321:U321"/>
    <mergeCell ref="V321:W321"/>
    <mergeCell ref="T328:U328"/>
    <mergeCell ref="V328:W328"/>
    <mergeCell ref="T329:U329"/>
    <mergeCell ref="V329:W329"/>
    <mergeCell ref="T330:U330"/>
    <mergeCell ref="V330:W330"/>
    <mergeCell ref="T325:U325"/>
    <mergeCell ref="V325:W325"/>
    <mergeCell ref="T326:U326"/>
    <mergeCell ref="V326:W326"/>
    <mergeCell ref="T327:U327"/>
    <mergeCell ref="V327:W327"/>
    <mergeCell ref="T334:U334"/>
    <mergeCell ref="V334:W334"/>
    <mergeCell ref="T335:U335"/>
    <mergeCell ref="V335:W335"/>
    <mergeCell ref="T336:U336"/>
    <mergeCell ref="V336:W336"/>
    <mergeCell ref="T331:U331"/>
    <mergeCell ref="V331:W331"/>
    <mergeCell ref="T332:U332"/>
    <mergeCell ref="V332:W332"/>
    <mergeCell ref="T333:U333"/>
    <mergeCell ref="V333:W333"/>
    <mergeCell ref="T340:U340"/>
    <mergeCell ref="V340:W340"/>
    <mergeCell ref="T341:U341"/>
    <mergeCell ref="V341:W341"/>
    <mergeCell ref="T342:U342"/>
    <mergeCell ref="V342:W342"/>
    <mergeCell ref="T337:U337"/>
    <mergeCell ref="V337:W337"/>
    <mergeCell ref="T338:U338"/>
    <mergeCell ref="V338:W338"/>
    <mergeCell ref="T339:U339"/>
    <mergeCell ref="V339:W339"/>
    <mergeCell ref="T346:U346"/>
    <mergeCell ref="V346:W346"/>
    <mergeCell ref="T347:U347"/>
    <mergeCell ref="V347:W347"/>
    <mergeCell ref="T348:U348"/>
    <mergeCell ref="V348:W348"/>
    <mergeCell ref="T343:U343"/>
    <mergeCell ref="V343:W343"/>
    <mergeCell ref="T344:U344"/>
    <mergeCell ref="V344:W344"/>
    <mergeCell ref="T345:U345"/>
    <mergeCell ref="V345:W345"/>
    <mergeCell ref="T352:U352"/>
    <mergeCell ref="V352:W352"/>
    <mergeCell ref="T353:U353"/>
    <mergeCell ref="V353:W353"/>
    <mergeCell ref="T354:U354"/>
    <mergeCell ref="V354:W354"/>
    <mergeCell ref="T349:U349"/>
    <mergeCell ref="V349:W349"/>
    <mergeCell ref="T350:U350"/>
    <mergeCell ref="V350:W350"/>
    <mergeCell ref="T351:U351"/>
    <mergeCell ref="V351:W351"/>
    <mergeCell ref="T358:U358"/>
    <mergeCell ref="V358:W358"/>
    <mergeCell ref="T359:U359"/>
    <mergeCell ref="V359:W359"/>
    <mergeCell ref="T360:U360"/>
    <mergeCell ref="V360:W360"/>
    <mergeCell ref="T355:U355"/>
    <mergeCell ref="V355:W355"/>
    <mergeCell ref="T356:U356"/>
    <mergeCell ref="V356:W356"/>
    <mergeCell ref="T357:U357"/>
    <mergeCell ref="V357:W357"/>
    <mergeCell ref="T364:U364"/>
    <mergeCell ref="V364:W364"/>
    <mergeCell ref="T365:U365"/>
    <mergeCell ref="V365:W365"/>
    <mergeCell ref="T366:U366"/>
    <mergeCell ref="V366:W366"/>
    <mergeCell ref="T361:U361"/>
    <mergeCell ref="V361:W361"/>
    <mergeCell ref="T362:U362"/>
    <mergeCell ref="V362:W362"/>
    <mergeCell ref="T363:U363"/>
    <mergeCell ref="V363:W363"/>
    <mergeCell ref="T370:U370"/>
    <mergeCell ref="V370:W370"/>
    <mergeCell ref="T371:U371"/>
    <mergeCell ref="V371:W371"/>
    <mergeCell ref="T372:U372"/>
    <mergeCell ref="V372:W372"/>
    <mergeCell ref="T367:U367"/>
    <mergeCell ref="V367:W367"/>
    <mergeCell ref="T368:U368"/>
    <mergeCell ref="V368:W368"/>
    <mergeCell ref="T369:U369"/>
    <mergeCell ref="V369:W369"/>
    <mergeCell ref="T376:U376"/>
    <mergeCell ref="V376:W376"/>
    <mergeCell ref="T377:U377"/>
    <mergeCell ref="V377:W377"/>
    <mergeCell ref="T378:U378"/>
    <mergeCell ref="V378:W378"/>
    <mergeCell ref="T373:U373"/>
    <mergeCell ref="V373:W373"/>
    <mergeCell ref="T374:U374"/>
    <mergeCell ref="V374:W374"/>
    <mergeCell ref="T375:U375"/>
    <mergeCell ref="V375:W375"/>
    <mergeCell ref="T385:U385"/>
    <mergeCell ref="V385:W385"/>
    <mergeCell ref="T382:U382"/>
    <mergeCell ref="V382:W382"/>
    <mergeCell ref="T383:U383"/>
    <mergeCell ref="V383:W383"/>
    <mergeCell ref="T384:U384"/>
    <mergeCell ref="V384:W384"/>
    <mergeCell ref="T379:U379"/>
    <mergeCell ref="V379:W379"/>
    <mergeCell ref="T380:U380"/>
    <mergeCell ref="V380:W380"/>
    <mergeCell ref="T381:U381"/>
    <mergeCell ref="V381:W381"/>
  </mergeCells>
  <hyperlinks>
    <hyperlink ref="B2" r:id="rId1" xr:uid="{00000000-0004-0000-0600-000000000000}"/>
    <hyperlink ref="B4" r:id="rId2" xr:uid="{00000000-0004-0000-0600-000001000000}"/>
    <hyperlink ref="B5" r:id="rId3" xr:uid="{00000000-0004-0000-0600-000002000000}"/>
    <hyperlink ref="B6" r:id="rId4" xr:uid="{00000000-0004-0000-0600-000003000000}"/>
    <hyperlink ref="B7" r:id="rId5" xr:uid="{00000000-0004-0000-0600-000004000000}"/>
  </hyperlinks>
  <pageMargins left="0.511811024" right="0.511811024" top="0.78740157499999996" bottom="0.78740157499999996" header="0.31496062000000002" footer="0.31496062000000002"/>
  <drawing r:id="rId6"/>
  <legacyDrawing r:id="rId7"/>
  <tableParts count="1">
    <tablePart r:id="rId8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15"/>
  <sheetViews>
    <sheetView workbookViewId="0">
      <selection activeCell="C30" sqref="C30"/>
    </sheetView>
  </sheetViews>
  <sheetFormatPr defaultColWidth="11" defaultRowHeight="15.75"/>
  <cols>
    <col min="1" max="1" width="33.125" bestFit="1" customWidth="1"/>
    <col min="2" max="2" width="15.875" customWidth="1"/>
    <col min="3" max="3" width="18.875" bestFit="1" customWidth="1"/>
    <col min="4" max="4" width="34.625" bestFit="1" customWidth="1"/>
    <col min="5" max="5" width="24.625" bestFit="1" customWidth="1"/>
    <col min="6" max="6" width="15.875" customWidth="1"/>
    <col min="7" max="7" width="13" customWidth="1"/>
    <col min="9" max="9" width="20.375" customWidth="1"/>
    <col min="11" max="11" width="20.375" bestFit="1" customWidth="1"/>
    <col min="257" max="257" width="33.125" bestFit="1" customWidth="1"/>
    <col min="258" max="258" width="15.875" customWidth="1"/>
    <col min="259" max="259" width="18.875" bestFit="1" customWidth="1"/>
    <col min="260" max="260" width="34.625" bestFit="1" customWidth="1"/>
    <col min="261" max="261" width="24.625" bestFit="1" customWidth="1"/>
    <col min="262" max="262" width="15.875" customWidth="1"/>
    <col min="263" max="263" width="13" customWidth="1"/>
    <col min="265" max="265" width="20.375" customWidth="1"/>
    <col min="267" max="267" width="20.375" bestFit="1" customWidth="1"/>
    <col min="513" max="513" width="33.125" bestFit="1" customWidth="1"/>
    <col min="514" max="514" width="15.875" customWidth="1"/>
    <col min="515" max="515" width="18.875" bestFit="1" customWidth="1"/>
    <col min="516" max="516" width="34.625" bestFit="1" customWidth="1"/>
    <col min="517" max="517" width="24.625" bestFit="1" customWidth="1"/>
    <col min="518" max="518" width="15.875" customWidth="1"/>
    <col min="519" max="519" width="13" customWidth="1"/>
    <col min="521" max="521" width="20.375" customWidth="1"/>
    <col min="523" max="523" width="20.375" bestFit="1" customWidth="1"/>
    <col min="769" max="769" width="33.125" bestFit="1" customWidth="1"/>
    <col min="770" max="770" width="15.875" customWidth="1"/>
    <col min="771" max="771" width="18.875" bestFit="1" customWidth="1"/>
    <col min="772" max="772" width="34.625" bestFit="1" customWidth="1"/>
    <col min="773" max="773" width="24.625" bestFit="1" customWidth="1"/>
    <col min="774" max="774" width="15.875" customWidth="1"/>
    <col min="775" max="775" width="13" customWidth="1"/>
    <col min="777" max="777" width="20.375" customWidth="1"/>
    <col min="779" max="779" width="20.375" bestFit="1" customWidth="1"/>
    <col min="1025" max="1025" width="33.125" bestFit="1" customWidth="1"/>
    <col min="1026" max="1026" width="15.875" customWidth="1"/>
    <col min="1027" max="1027" width="18.875" bestFit="1" customWidth="1"/>
    <col min="1028" max="1028" width="34.625" bestFit="1" customWidth="1"/>
    <col min="1029" max="1029" width="24.625" bestFit="1" customWidth="1"/>
    <col min="1030" max="1030" width="15.875" customWidth="1"/>
    <col min="1031" max="1031" width="13" customWidth="1"/>
    <col min="1033" max="1033" width="20.375" customWidth="1"/>
    <col min="1035" max="1035" width="20.375" bestFit="1" customWidth="1"/>
    <col min="1281" max="1281" width="33.125" bestFit="1" customWidth="1"/>
    <col min="1282" max="1282" width="15.875" customWidth="1"/>
    <col min="1283" max="1283" width="18.875" bestFit="1" customWidth="1"/>
    <col min="1284" max="1284" width="34.625" bestFit="1" customWidth="1"/>
    <col min="1285" max="1285" width="24.625" bestFit="1" customWidth="1"/>
    <col min="1286" max="1286" width="15.875" customWidth="1"/>
    <col min="1287" max="1287" width="13" customWidth="1"/>
    <col min="1289" max="1289" width="20.375" customWidth="1"/>
    <col min="1291" max="1291" width="20.375" bestFit="1" customWidth="1"/>
    <col min="1537" max="1537" width="33.125" bestFit="1" customWidth="1"/>
    <col min="1538" max="1538" width="15.875" customWidth="1"/>
    <col min="1539" max="1539" width="18.875" bestFit="1" customWidth="1"/>
    <col min="1540" max="1540" width="34.625" bestFit="1" customWidth="1"/>
    <col min="1541" max="1541" width="24.625" bestFit="1" customWidth="1"/>
    <col min="1542" max="1542" width="15.875" customWidth="1"/>
    <col min="1543" max="1543" width="13" customWidth="1"/>
    <col min="1545" max="1545" width="20.375" customWidth="1"/>
    <col min="1547" max="1547" width="20.375" bestFit="1" customWidth="1"/>
    <col min="1793" max="1793" width="33.125" bestFit="1" customWidth="1"/>
    <col min="1794" max="1794" width="15.875" customWidth="1"/>
    <col min="1795" max="1795" width="18.875" bestFit="1" customWidth="1"/>
    <col min="1796" max="1796" width="34.625" bestFit="1" customWidth="1"/>
    <col min="1797" max="1797" width="24.625" bestFit="1" customWidth="1"/>
    <col min="1798" max="1798" width="15.875" customWidth="1"/>
    <col min="1799" max="1799" width="13" customWidth="1"/>
    <col min="1801" max="1801" width="20.375" customWidth="1"/>
    <col min="1803" max="1803" width="20.375" bestFit="1" customWidth="1"/>
    <col min="2049" max="2049" width="33.125" bestFit="1" customWidth="1"/>
    <col min="2050" max="2050" width="15.875" customWidth="1"/>
    <col min="2051" max="2051" width="18.875" bestFit="1" customWidth="1"/>
    <col min="2052" max="2052" width="34.625" bestFit="1" customWidth="1"/>
    <col min="2053" max="2053" width="24.625" bestFit="1" customWidth="1"/>
    <col min="2054" max="2054" width="15.875" customWidth="1"/>
    <col min="2055" max="2055" width="13" customWidth="1"/>
    <col min="2057" max="2057" width="20.375" customWidth="1"/>
    <col min="2059" max="2059" width="20.375" bestFit="1" customWidth="1"/>
    <col min="2305" max="2305" width="33.125" bestFit="1" customWidth="1"/>
    <col min="2306" max="2306" width="15.875" customWidth="1"/>
    <col min="2307" max="2307" width="18.875" bestFit="1" customWidth="1"/>
    <col min="2308" max="2308" width="34.625" bestFit="1" customWidth="1"/>
    <col min="2309" max="2309" width="24.625" bestFit="1" customWidth="1"/>
    <col min="2310" max="2310" width="15.875" customWidth="1"/>
    <col min="2311" max="2311" width="13" customWidth="1"/>
    <col min="2313" max="2313" width="20.375" customWidth="1"/>
    <col min="2315" max="2315" width="20.375" bestFit="1" customWidth="1"/>
    <col min="2561" max="2561" width="33.125" bestFit="1" customWidth="1"/>
    <col min="2562" max="2562" width="15.875" customWidth="1"/>
    <col min="2563" max="2563" width="18.875" bestFit="1" customWidth="1"/>
    <col min="2564" max="2564" width="34.625" bestFit="1" customWidth="1"/>
    <col min="2565" max="2565" width="24.625" bestFit="1" customWidth="1"/>
    <col min="2566" max="2566" width="15.875" customWidth="1"/>
    <col min="2567" max="2567" width="13" customWidth="1"/>
    <col min="2569" max="2569" width="20.375" customWidth="1"/>
    <col min="2571" max="2571" width="20.375" bestFit="1" customWidth="1"/>
    <col min="2817" max="2817" width="33.125" bestFit="1" customWidth="1"/>
    <col min="2818" max="2818" width="15.875" customWidth="1"/>
    <col min="2819" max="2819" width="18.875" bestFit="1" customWidth="1"/>
    <col min="2820" max="2820" width="34.625" bestFit="1" customWidth="1"/>
    <col min="2821" max="2821" width="24.625" bestFit="1" customWidth="1"/>
    <col min="2822" max="2822" width="15.875" customWidth="1"/>
    <col min="2823" max="2823" width="13" customWidth="1"/>
    <col min="2825" max="2825" width="20.375" customWidth="1"/>
    <col min="2827" max="2827" width="20.375" bestFit="1" customWidth="1"/>
    <col min="3073" max="3073" width="33.125" bestFit="1" customWidth="1"/>
    <col min="3074" max="3074" width="15.875" customWidth="1"/>
    <col min="3075" max="3075" width="18.875" bestFit="1" customWidth="1"/>
    <col min="3076" max="3076" width="34.625" bestFit="1" customWidth="1"/>
    <col min="3077" max="3077" width="24.625" bestFit="1" customWidth="1"/>
    <col min="3078" max="3078" width="15.875" customWidth="1"/>
    <col min="3079" max="3079" width="13" customWidth="1"/>
    <col min="3081" max="3081" width="20.375" customWidth="1"/>
    <col min="3083" max="3083" width="20.375" bestFit="1" customWidth="1"/>
    <col min="3329" max="3329" width="33.125" bestFit="1" customWidth="1"/>
    <col min="3330" max="3330" width="15.875" customWidth="1"/>
    <col min="3331" max="3331" width="18.875" bestFit="1" customWidth="1"/>
    <col min="3332" max="3332" width="34.625" bestFit="1" customWidth="1"/>
    <col min="3333" max="3333" width="24.625" bestFit="1" customWidth="1"/>
    <col min="3334" max="3334" width="15.875" customWidth="1"/>
    <col min="3335" max="3335" width="13" customWidth="1"/>
    <col min="3337" max="3337" width="20.375" customWidth="1"/>
    <col min="3339" max="3339" width="20.375" bestFit="1" customWidth="1"/>
    <col min="3585" max="3585" width="33.125" bestFit="1" customWidth="1"/>
    <col min="3586" max="3586" width="15.875" customWidth="1"/>
    <col min="3587" max="3587" width="18.875" bestFit="1" customWidth="1"/>
    <col min="3588" max="3588" width="34.625" bestFit="1" customWidth="1"/>
    <col min="3589" max="3589" width="24.625" bestFit="1" customWidth="1"/>
    <col min="3590" max="3590" width="15.875" customWidth="1"/>
    <col min="3591" max="3591" width="13" customWidth="1"/>
    <col min="3593" max="3593" width="20.375" customWidth="1"/>
    <col min="3595" max="3595" width="20.375" bestFit="1" customWidth="1"/>
    <col min="3841" max="3841" width="33.125" bestFit="1" customWidth="1"/>
    <col min="3842" max="3842" width="15.875" customWidth="1"/>
    <col min="3843" max="3843" width="18.875" bestFit="1" customWidth="1"/>
    <col min="3844" max="3844" width="34.625" bestFit="1" customWidth="1"/>
    <col min="3845" max="3845" width="24.625" bestFit="1" customWidth="1"/>
    <col min="3846" max="3846" width="15.875" customWidth="1"/>
    <col min="3847" max="3847" width="13" customWidth="1"/>
    <col min="3849" max="3849" width="20.375" customWidth="1"/>
    <col min="3851" max="3851" width="20.375" bestFit="1" customWidth="1"/>
    <col min="4097" max="4097" width="33.125" bestFit="1" customWidth="1"/>
    <col min="4098" max="4098" width="15.875" customWidth="1"/>
    <col min="4099" max="4099" width="18.875" bestFit="1" customWidth="1"/>
    <col min="4100" max="4100" width="34.625" bestFit="1" customWidth="1"/>
    <col min="4101" max="4101" width="24.625" bestFit="1" customWidth="1"/>
    <col min="4102" max="4102" width="15.875" customWidth="1"/>
    <col min="4103" max="4103" width="13" customWidth="1"/>
    <col min="4105" max="4105" width="20.375" customWidth="1"/>
    <col min="4107" max="4107" width="20.375" bestFit="1" customWidth="1"/>
    <col min="4353" max="4353" width="33.125" bestFit="1" customWidth="1"/>
    <col min="4354" max="4354" width="15.875" customWidth="1"/>
    <col min="4355" max="4355" width="18.875" bestFit="1" customWidth="1"/>
    <col min="4356" max="4356" width="34.625" bestFit="1" customWidth="1"/>
    <col min="4357" max="4357" width="24.625" bestFit="1" customWidth="1"/>
    <col min="4358" max="4358" width="15.875" customWidth="1"/>
    <col min="4359" max="4359" width="13" customWidth="1"/>
    <col min="4361" max="4361" width="20.375" customWidth="1"/>
    <col min="4363" max="4363" width="20.375" bestFit="1" customWidth="1"/>
    <col min="4609" max="4609" width="33.125" bestFit="1" customWidth="1"/>
    <col min="4610" max="4610" width="15.875" customWidth="1"/>
    <col min="4611" max="4611" width="18.875" bestFit="1" customWidth="1"/>
    <col min="4612" max="4612" width="34.625" bestFit="1" customWidth="1"/>
    <col min="4613" max="4613" width="24.625" bestFit="1" customWidth="1"/>
    <col min="4614" max="4614" width="15.875" customWidth="1"/>
    <col min="4615" max="4615" width="13" customWidth="1"/>
    <col min="4617" max="4617" width="20.375" customWidth="1"/>
    <col min="4619" max="4619" width="20.375" bestFit="1" customWidth="1"/>
    <col min="4865" max="4865" width="33.125" bestFit="1" customWidth="1"/>
    <col min="4866" max="4866" width="15.875" customWidth="1"/>
    <col min="4867" max="4867" width="18.875" bestFit="1" customWidth="1"/>
    <col min="4868" max="4868" width="34.625" bestFit="1" customWidth="1"/>
    <col min="4869" max="4869" width="24.625" bestFit="1" customWidth="1"/>
    <col min="4870" max="4870" width="15.875" customWidth="1"/>
    <col min="4871" max="4871" width="13" customWidth="1"/>
    <col min="4873" max="4873" width="20.375" customWidth="1"/>
    <col min="4875" max="4875" width="20.375" bestFit="1" customWidth="1"/>
    <col min="5121" max="5121" width="33.125" bestFit="1" customWidth="1"/>
    <col min="5122" max="5122" width="15.875" customWidth="1"/>
    <col min="5123" max="5123" width="18.875" bestFit="1" customWidth="1"/>
    <col min="5124" max="5124" width="34.625" bestFit="1" customWidth="1"/>
    <col min="5125" max="5125" width="24.625" bestFit="1" customWidth="1"/>
    <col min="5126" max="5126" width="15.875" customWidth="1"/>
    <col min="5127" max="5127" width="13" customWidth="1"/>
    <col min="5129" max="5129" width="20.375" customWidth="1"/>
    <col min="5131" max="5131" width="20.375" bestFit="1" customWidth="1"/>
    <col min="5377" max="5377" width="33.125" bestFit="1" customWidth="1"/>
    <col min="5378" max="5378" width="15.875" customWidth="1"/>
    <col min="5379" max="5379" width="18.875" bestFit="1" customWidth="1"/>
    <col min="5380" max="5380" width="34.625" bestFit="1" customWidth="1"/>
    <col min="5381" max="5381" width="24.625" bestFit="1" customWidth="1"/>
    <col min="5382" max="5382" width="15.875" customWidth="1"/>
    <col min="5383" max="5383" width="13" customWidth="1"/>
    <col min="5385" max="5385" width="20.375" customWidth="1"/>
    <col min="5387" max="5387" width="20.375" bestFit="1" customWidth="1"/>
    <col min="5633" max="5633" width="33.125" bestFit="1" customWidth="1"/>
    <col min="5634" max="5634" width="15.875" customWidth="1"/>
    <col min="5635" max="5635" width="18.875" bestFit="1" customWidth="1"/>
    <col min="5636" max="5636" width="34.625" bestFit="1" customWidth="1"/>
    <col min="5637" max="5637" width="24.625" bestFit="1" customWidth="1"/>
    <col min="5638" max="5638" width="15.875" customWidth="1"/>
    <col min="5639" max="5639" width="13" customWidth="1"/>
    <col min="5641" max="5641" width="20.375" customWidth="1"/>
    <col min="5643" max="5643" width="20.375" bestFit="1" customWidth="1"/>
    <col min="5889" max="5889" width="33.125" bestFit="1" customWidth="1"/>
    <col min="5890" max="5890" width="15.875" customWidth="1"/>
    <col min="5891" max="5891" width="18.875" bestFit="1" customWidth="1"/>
    <col min="5892" max="5892" width="34.625" bestFit="1" customWidth="1"/>
    <col min="5893" max="5893" width="24.625" bestFit="1" customWidth="1"/>
    <col min="5894" max="5894" width="15.875" customWidth="1"/>
    <col min="5895" max="5895" width="13" customWidth="1"/>
    <col min="5897" max="5897" width="20.375" customWidth="1"/>
    <col min="5899" max="5899" width="20.375" bestFit="1" customWidth="1"/>
    <col min="6145" max="6145" width="33.125" bestFit="1" customWidth="1"/>
    <col min="6146" max="6146" width="15.875" customWidth="1"/>
    <col min="6147" max="6147" width="18.875" bestFit="1" customWidth="1"/>
    <col min="6148" max="6148" width="34.625" bestFit="1" customWidth="1"/>
    <col min="6149" max="6149" width="24.625" bestFit="1" customWidth="1"/>
    <col min="6150" max="6150" width="15.875" customWidth="1"/>
    <col min="6151" max="6151" width="13" customWidth="1"/>
    <col min="6153" max="6153" width="20.375" customWidth="1"/>
    <col min="6155" max="6155" width="20.375" bestFit="1" customWidth="1"/>
    <col min="6401" max="6401" width="33.125" bestFit="1" customWidth="1"/>
    <col min="6402" max="6402" width="15.875" customWidth="1"/>
    <col min="6403" max="6403" width="18.875" bestFit="1" customWidth="1"/>
    <col min="6404" max="6404" width="34.625" bestFit="1" customWidth="1"/>
    <col min="6405" max="6405" width="24.625" bestFit="1" customWidth="1"/>
    <col min="6406" max="6406" width="15.875" customWidth="1"/>
    <col min="6407" max="6407" width="13" customWidth="1"/>
    <col min="6409" max="6409" width="20.375" customWidth="1"/>
    <col min="6411" max="6411" width="20.375" bestFit="1" customWidth="1"/>
    <col min="6657" max="6657" width="33.125" bestFit="1" customWidth="1"/>
    <col min="6658" max="6658" width="15.875" customWidth="1"/>
    <col min="6659" max="6659" width="18.875" bestFit="1" customWidth="1"/>
    <col min="6660" max="6660" width="34.625" bestFit="1" customWidth="1"/>
    <col min="6661" max="6661" width="24.625" bestFit="1" customWidth="1"/>
    <col min="6662" max="6662" width="15.875" customWidth="1"/>
    <col min="6663" max="6663" width="13" customWidth="1"/>
    <col min="6665" max="6665" width="20.375" customWidth="1"/>
    <col min="6667" max="6667" width="20.375" bestFit="1" customWidth="1"/>
    <col min="6913" max="6913" width="33.125" bestFit="1" customWidth="1"/>
    <col min="6914" max="6914" width="15.875" customWidth="1"/>
    <col min="6915" max="6915" width="18.875" bestFit="1" customWidth="1"/>
    <col min="6916" max="6916" width="34.625" bestFit="1" customWidth="1"/>
    <col min="6917" max="6917" width="24.625" bestFit="1" customWidth="1"/>
    <col min="6918" max="6918" width="15.875" customWidth="1"/>
    <col min="6919" max="6919" width="13" customWidth="1"/>
    <col min="6921" max="6921" width="20.375" customWidth="1"/>
    <col min="6923" max="6923" width="20.375" bestFit="1" customWidth="1"/>
    <col min="7169" max="7169" width="33.125" bestFit="1" customWidth="1"/>
    <col min="7170" max="7170" width="15.875" customWidth="1"/>
    <col min="7171" max="7171" width="18.875" bestFit="1" customWidth="1"/>
    <col min="7172" max="7172" width="34.625" bestFit="1" customWidth="1"/>
    <col min="7173" max="7173" width="24.625" bestFit="1" customWidth="1"/>
    <col min="7174" max="7174" width="15.875" customWidth="1"/>
    <col min="7175" max="7175" width="13" customWidth="1"/>
    <col min="7177" max="7177" width="20.375" customWidth="1"/>
    <col min="7179" max="7179" width="20.375" bestFit="1" customWidth="1"/>
    <col min="7425" max="7425" width="33.125" bestFit="1" customWidth="1"/>
    <col min="7426" max="7426" width="15.875" customWidth="1"/>
    <col min="7427" max="7427" width="18.875" bestFit="1" customWidth="1"/>
    <col min="7428" max="7428" width="34.625" bestFit="1" customWidth="1"/>
    <col min="7429" max="7429" width="24.625" bestFit="1" customWidth="1"/>
    <col min="7430" max="7430" width="15.875" customWidth="1"/>
    <col min="7431" max="7431" width="13" customWidth="1"/>
    <col min="7433" max="7433" width="20.375" customWidth="1"/>
    <col min="7435" max="7435" width="20.375" bestFit="1" customWidth="1"/>
    <col min="7681" max="7681" width="33.125" bestFit="1" customWidth="1"/>
    <col min="7682" max="7682" width="15.875" customWidth="1"/>
    <col min="7683" max="7683" width="18.875" bestFit="1" customWidth="1"/>
    <col min="7684" max="7684" width="34.625" bestFit="1" customWidth="1"/>
    <col min="7685" max="7685" width="24.625" bestFit="1" customWidth="1"/>
    <col min="7686" max="7686" width="15.875" customWidth="1"/>
    <col min="7687" max="7687" width="13" customWidth="1"/>
    <col min="7689" max="7689" width="20.375" customWidth="1"/>
    <col min="7691" max="7691" width="20.375" bestFit="1" customWidth="1"/>
    <col min="7937" max="7937" width="33.125" bestFit="1" customWidth="1"/>
    <col min="7938" max="7938" width="15.875" customWidth="1"/>
    <col min="7939" max="7939" width="18.875" bestFit="1" customWidth="1"/>
    <col min="7940" max="7940" width="34.625" bestFit="1" customWidth="1"/>
    <col min="7941" max="7941" width="24.625" bestFit="1" customWidth="1"/>
    <col min="7942" max="7942" width="15.875" customWidth="1"/>
    <col min="7943" max="7943" width="13" customWidth="1"/>
    <col min="7945" max="7945" width="20.375" customWidth="1"/>
    <col min="7947" max="7947" width="20.375" bestFit="1" customWidth="1"/>
    <col min="8193" max="8193" width="33.125" bestFit="1" customWidth="1"/>
    <col min="8194" max="8194" width="15.875" customWidth="1"/>
    <col min="8195" max="8195" width="18.875" bestFit="1" customWidth="1"/>
    <col min="8196" max="8196" width="34.625" bestFit="1" customWidth="1"/>
    <col min="8197" max="8197" width="24.625" bestFit="1" customWidth="1"/>
    <col min="8198" max="8198" width="15.875" customWidth="1"/>
    <col min="8199" max="8199" width="13" customWidth="1"/>
    <col min="8201" max="8201" width="20.375" customWidth="1"/>
    <col min="8203" max="8203" width="20.375" bestFit="1" customWidth="1"/>
    <col min="8449" max="8449" width="33.125" bestFit="1" customWidth="1"/>
    <col min="8450" max="8450" width="15.875" customWidth="1"/>
    <col min="8451" max="8451" width="18.875" bestFit="1" customWidth="1"/>
    <col min="8452" max="8452" width="34.625" bestFit="1" customWidth="1"/>
    <col min="8453" max="8453" width="24.625" bestFit="1" customWidth="1"/>
    <col min="8454" max="8454" width="15.875" customWidth="1"/>
    <col min="8455" max="8455" width="13" customWidth="1"/>
    <col min="8457" max="8457" width="20.375" customWidth="1"/>
    <col min="8459" max="8459" width="20.375" bestFit="1" customWidth="1"/>
    <col min="8705" max="8705" width="33.125" bestFit="1" customWidth="1"/>
    <col min="8706" max="8706" width="15.875" customWidth="1"/>
    <col min="8707" max="8707" width="18.875" bestFit="1" customWidth="1"/>
    <col min="8708" max="8708" width="34.625" bestFit="1" customWidth="1"/>
    <col min="8709" max="8709" width="24.625" bestFit="1" customWidth="1"/>
    <col min="8710" max="8710" width="15.875" customWidth="1"/>
    <col min="8711" max="8711" width="13" customWidth="1"/>
    <col min="8713" max="8713" width="20.375" customWidth="1"/>
    <col min="8715" max="8715" width="20.375" bestFit="1" customWidth="1"/>
    <col min="8961" max="8961" width="33.125" bestFit="1" customWidth="1"/>
    <col min="8962" max="8962" width="15.875" customWidth="1"/>
    <col min="8963" max="8963" width="18.875" bestFit="1" customWidth="1"/>
    <col min="8964" max="8964" width="34.625" bestFit="1" customWidth="1"/>
    <col min="8965" max="8965" width="24.625" bestFit="1" customWidth="1"/>
    <col min="8966" max="8966" width="15.875" customWidth="1"/>
    <col min="8967" max="8967" width="13" customWidth="1"/>
    <col min="8969" max="8969" width="20.375" customWidth="1"/>
    <col min="8971" max="8971" width="20.375" bestFit="1" customWidth="1"/>
    <col min="9217" max="9217" width="33.125" bestFit="1" customWidth="1"/>
    <col min="9218" max="9218" width="15.875" customWidth="1"/>
    <col min="9219" max="9219" width="18.875" bestFit="1" customWidth="1"/>
    <col min="9220" max="9220" width="34.625" bestFit="1" customWidth="1"/>
    <col min="9221" max="9221" width="24.625" bestFit="1" customWidth="1"/>
    <col min="9222" max="9222" width="15.875" customWidth="1"/>
    <col min="9223" max="9223" width="13" customWidth="1"/>
    <col min="9225" max="9225" width="20.375" customWidth="1"/>
    <col min="9227" max="9227" width="20.375" bestFit="1" customWidth="1"/>
    <col min="9473" max="9473" width="33.125" bestFit="1" customWidth="1"/>
    <col min="9474" max="9474" width="15.875" customWidth="1"/>
    <col min="9475" max="9475" width="18.875" bestFit="1" customWidth="1"/>
    <col min="9476" max="9476" width="34.625" bestFit="1" customWidth="1"/>
    <col min="9477" max="9477" width="24.625" bestFit="1" customWidth="1"/>
    <col min="9478" max="9478" width="15.875" customWidth="1"/>
    <col min="9479" max="9479" width="13" customWidth="1"/>
    <col min="9481" max="9481" width="20.375" customWidth="1"/>
    <col min="9483" max="9483" width="20.375" bestFit="1" customWidth="1"/>
    <col min="9729" max="9729" width="33.125" bestFit="1" customWidth="1"/>
    <col min="9730" max="9730" width="15.875" customWidth="1"/>
    <col min="9731" max="9731" width="18.875" bestFit="1" customWidth="1"/>
    <col min="9732" max="9732" width="34.625" bestFit="1" customWidth="1"/>
    <col min="9733" max="9733" width="24.625" bestFit="1" customWidth="1"/>
    <col min="9734" max="9734" width="15.875" customWidth="1"/>
    <col min="9735" max="9735" width="13" customWidth="1"/>
    <col min="9737" max="9737" width="20.375" customWidth="1"/>
    <col min="9739" max="9739" width="20.375" bestFit="1" customWidth="1"/>
    <col min="9985" max="9985" width="33.125" bestFit="1" customWidth="1"/>
    <col min="9986" max="9986" width="15.875" customWidth="1"/>
    <col min="9987" max="9987" width="18.875" bestFit="1" customWidth="1"/>
    <col min="9988" max="9988" width="34.625" bestFit="1" customWidth="1"/>
    <col min="9989" max="9989" width="24.625" bestFit="1" customWidth="1"/>
    <col min="9990" max="9990" width="15.875" customWidth="1"/>
    <col min="9991" max="9991" width="13" customWidth="1"/>
    <col min="9993" max="9993" width="20.375" customWidth="1"/>
    <col min="9995" max="9995" width="20.375" bestFit="1" customWidth="1"/>
    <col min="10241" max="10241" width="33.125" bestFit="1" customWidth="1"/>
    <col min="10242" max="10242" width="15.875" customWidth="1"/>
    <col min="10243" max="10243" width="18.875" bestFit="1" customWidth="1"/>
    <col min="10244" max="10244" width="34.625" bestFit="1" customWidth="1"/>
    <col min="10245" max="10245" width="24.625" bestFit="1" customWidth="1"/>
    <col min="10246" max="10246" width="15.875" customWidth="1"/>
    <col min="10247" max="10247" width="13" customWidth="1"/>
    <col min="10249" max="10249" width="20.375" customWidth="1"/>
    <col min="10251" max="10251" width="20.375" bestFit="1" customWidth="1"/>
    <col min="10497" max="10497" width="33.125" bestFit="1" customWidth="1"/>
    <col min="10498" max="10498" width="15.875" customWidth="1"/>
    <col min="10499" max="10499" width="18.875" bestFit="1" customWidth="1"/>
    <col min="10500" max="10500" width="34.625" bestFit="1" customWidth="1"/>
    <col min="10501" max="10501" width="24.625" bestFit="1" customWidth="1"/>
    <col min="10502" max="10502" width="15.875" customWidth="1"/>
    <col min="10503" max="10503" width="13" customWidth="1"/>
    <col min="10505" max="10505" width="20.375" customWidth="1"/>
    <col min="10507" max="10507" width="20.375" bestFit="1" customWidth="1"/>
    <col min="10753" max="10753" width="33.125" bestFit="1" customWidth="1"/>
    <col min="10754" max="10754" width="15.875" customWidth="1"/>
    <col min="10755" max="10755" width="18.875" bestFit="1" customWidth="1"/>
    <col min="10756" max="10756" width="34.625" bestFit="1" customWidth="1"/>
    <col min="10757" max="10757" width="24.625" bestFit="1" customWidth="1"/>
    <col min="10758" max="10758" width="15.875" customWidth="1"/>
    <col min="10759" max="10759" width="13" customWidth="1"/>
    <col min="10761" max="10761" width="20.375" customWidth="1"/>
    <col min="10763" max="10763" width="20.375" bestFit="1" customWidth="1"/>
    <col min="11009" max="11009" width="33.125" bestFit="1" customWidth="1"/>
    <col min="11010" max="11010" width="15.875" customWidth="1"/>
    <col min="11011" max="11011" width="18.875" bestFit="1" customWidth="1"/>
    <col min="11012" max="11012" width="34.625" bestFit="1" customWidth="1"/>
    <col min="11013" max="11013" width="24.625" bestFit="1" customWidth="1"/>
    <col min="11014" max="11014" width="15.875" customWidth="1"/>
    <col min="11015" max="11015" width="13" customWidth="1"/>
    <col min="11017" max="11017" width="20.375" customWidth="1"/>
    <col min="11019" max="11019" width="20.375" bestFit="1" customWidth="1"/>
    <col min="11265" max="11265" width="33.125" bestFit="1" customWidth="1"/>
    <col min="11266" max="11266" width="15.875" customWidth="1"/>
    <col min="11267" max="11267" width="18.875" bestFit="1" customWidth="1"/>
    <col min="11268" max="11268" width="34.625" bestFit="1" customWidth="1"/>
    <col min="11269" max="11269" width="24.625" bestFit="1" customWidth="1"/>
    <col min="11270" max="11270" width="15.875" customWidth="1"/>
    <col min="11271" max="11271" width="13" customWidth="1"/>
    <col min="11273" max="11273" width="20.375" customWidth="1"/>
    <col min="11275" max="11275" width="20.375" bestFit="1" customWidth="1"/>
    <col min="11521" max="11521" width="33.125" bestFit="1" customWidth="1"/>
    <col min="11522" max="11522" width="15.875" customWidth="1"/>
    <col min="11523" max="11523" width="18.875" bestFit="1" customWidth="1"/>
    <col min="11524" max="11524" width="34.625" bestFit="1" customWidth="1"/>
    <col min="11525" max="11525" width="24.625" bestFit="1" customWidth="1"/>
    <col min="11526" max="11526" width="15.875" customWidth="1"/>
    <col min="11527" max="11527" width="13" customWidth="1"/>
    <col min="11529" max="11529" width="20.375" customWidth="1"/>
    <col min="11531" max="11531" width="20.375" bestFit="1" customWidth="1"/>
    <col min="11777" max="11777" width="33.125" bestFit="1" customWidth="1"/>
    <col min="11778" max="11778" width="15.875" customWidth="1"/>
    <col min="11779" max="11779" width="18.875" bestFit="1" customWidth="1"/>
    <col min="11780" max="11780" width="34.625" bestFit="1" customWidth="1"/>
    <col min="11781" max="11781" width="24.625" bestFit="1" customWidth="1"/>
    <col min="11782" max="11782" width="15.875" customWidth="1"/>
    <col min="11783" max="11783" width="13" customWidth="1"/>
    <col min="11785" max="11785" width="20.375" customWidth="1"/>
    <col min="11787" max="11787" width="20.375" bestFit="1" customWidth="1"/>
    <col min="12033" max="12033" width="33.125" bestFit="1" customWidth="1"/>
    <col min="12034" max="12034" width="15.875" customWidth="1"/>
    <col min="12035" max="12035" width="18.875" bestFit="1" customWidth="1"/>
    <col min="12036" max="12036" width="34.625" bestFit="1" customWidth="1"/>
    <col min="12037" max="12037" width="24.625" bestFit="1" customWidth="1"/>
    <col min="12038" max="12038" width="15.875" customWidth="1"/>
    <col min="12039" max="12039" width="13" customWidth="1"/>
    <col min="12041" max="12041" width="20.375" customWidth="1"/>
    <col min="12043" max="12043" width="20.375" bestFit="1" customWidth="1"/>
    <col min="12289" max="12289" width="33.125" bestFit="1" customWidth="1"/>
    <col min="12290" max="12290" width="15.875" customWidth="1"/>
    <col min="12291" max="12291" width="18.875" bestFit="1" customWidth="1"/>
    <col min="12292" max="12292" width="34.625" bestFit="1" customWidth="1"/>
    <col min="12293" max="12293" width="24.625" bestFit="1" customWidth="1"/>
    <col min="12294" max="12294" width="15.875" customWidth="1"/>
    <col min="12295" max="12295" width="13" customWidth="1"/>
    <col min="12297" max="12297" width="20.375" customWidth="1"/>
    <col min="12299" max="12299" width="20.375" bestFit="1" customWidth="1"/>
    <col min="12545" max="12545" width="33.125" bestFit="1" customWidth="1"/>
    <col min="12546" max="12546" width="15.875" customWidth="1"/>
    <col min="12547" max="12547" width="18.875" bestFit="1" customWidth="1"/>
    <col min="12548" max="12548" width="34.625" bestFit="1" customWidth="1"/>
    <col min="12549" max="12549" width="24.625" bestFit="1" customWidth="1"/>
    <col min="12550" max="12550" width="15.875" customWidth="1"/>
    <col min="12551" max="12551" width="13" customWidth="1"/>
    <col min="12553" max="12553" width="20.375" customWidth="1"/>
    <col min="12555" max="12555" width="20.375" bestFit="1" customWidth="1"/>
    <col min="12801" max="12801" width="33.125" bestFit="1" customWidth="1"/>
    <col min="12802" max="12802" width="15.875" customWidth="1"/>
    <col min="12803" max="12803" width="18.875" bestFit="1" customWidth="1"/>
    <col min="12804" max="12804" width="34.625" bestFit="1" customWidth="1"/>
    <col min="12805" max="12805" width="24.625" bestFit="1" customWidth="1"/>
    <col min="12806" max="12806" width="15.875" customWidth="1"/>
    <col min="12807" max="12807" width="13" customWidth="1"/>
    <col min="12809" max="12809" width="20.375" customWidth="1"/>
    <col min="12811" max="12811" width="20.375" bestFit="1" customWidth="1"/>
    <col min="13057" max="13057" width="33.125" bestFit="1" customWidth="1"/>
    <col min="13058" max="13058" width="15.875" customWidth="1"/>
    <col min="13059" max="13059" width="18.875" bestFit="1" customWidth="1"/>
    <col min="13060" max="13060" width="34.625" bestFit="1" customWidth="1"/>
    <col min="13061" max="13061" width="24.625" bestFit="1" customWidth="1"/>
    <col min="13062" max="13062" width="15.875" customWidth="1"/>
    <col min="13063" max="13063" width="13" customWidth="1"/>
    <col min="13065" max="13065" width="20.375" customWidth="1"/>
    <col min="13067" max="13067" width="20.375" bestFit="1" customWidth="1"/>
    <col min="13313" max="13313" width="33.125" bestFit="1" customWidth="1"/>
    <col min="13314" max="13314" width="15.875" customWidth="1"/>
    <col min="13315" max="13315" width="18.875" bestFit="1" customWidth="1"/>
    <col min="13316" max="13316" width="34.625" bestFit="1" customWidth="1"/>
    <col min="13317" max="13317" width="24.625" bestFit="1" customWidth="1"/>
    <col min="13318" max="13318" width="15.875" customWidth="1"/>
    <col min="13319" max="13319" width="13" customWidth="1"/>
    <col min="13321" max="13321" width="20.375" customWidth="1"/>
    <col min="13323" max="13323" width="20.375" bestFit="1" customWidth="1"/>
    <col min="13569" max="13569" width="33.125" bestFit="1" customWidth="1"/>
    <col min="13570" max="13570" width="15.875" customWidth="1"/>
    <col min="13571" max="13571" width="18.875" bestFit="1" customWidth="1"/>
    <col min="13572" max="13572" width="34.625" bestFit="1" customWidth="1"/>
    <col min="13573" max="13573" width="24.625" bestFit="1" customWidth="1"/>
    <col min="13574" max="13574" width="15.875" customWidth="1"/>
    <col min="13575" max="13575" width="13" customWidth="1"/>
    <col min="13577" max="13577" width="20.375" customWidth="1"/>
    <col min="13579" max="13579" width="20.375" bestFit="1" customWidth="1"/>
    <col min="13825" max="13825" width="33.125" bestFit="1" customWidth="1"/>
    <col min="13826" max="13826" width="15.875" customWidth="1"/>
    <col min="13827" max="13827" width="18.875" bestFit="1" customWidth="1"/>
    <col min="13828" max="13828" width="34.625" bestFit="1" customWidth="1"/>
    <col min="13829" max="13829" width="24.625" bestFit="1" customWidth="1"/>
    <col min="13830" max="13830" width="15.875" customWidth="1"/>
    <col min="13831" max="13831" width="13" customWidth="1"/>
    <col min="13833" max="13833" width="20.375" customWidth="1"/>
    <col min="13835" max="13835" width="20.375" bestFit="1" customWidth="1"/>
    <col min="14081" max="14081" width="33.125" bestFit="1" customWidth="1"/>
    <col min="14082" max="14082" width="15.875" customWidth="1"/>
    <col min="14083" max="14083" width="18.875" bestFit="1" customWidth="1"/>
    <col min="14084" max="14084" width="34.625" bestFit="1" customWidth="1"/>
    <col min="14085" max="14085" width="24.625" bestFit="1" customWidth="1"/>
    <col min="14086" max="14086" width="15.875" customWidth="1"/>
    <col min="14087" max="14087" width="13" customWidth="1"/>
    <col min="14089" max="14089" width="20.375" customWidth="1"/>
    <col min="14091" max="14091" width="20.375" bestFit="1" customWidth="1"/>
    <col min="14337" max="14337" width="33.125" bestFit="1" customWidth="1"/>
    <col min="14338" max="14338" width="15.875" customWidth="1"/>
    <col min="14339" max="14339" width="18.875" bestFit="1" customWidth="1"/>
    <col min="14340" max="14340" width="34.625" bestFit="1" customWidth="1"/>
    <col min="14341" max="14341" width="24.625" bestFit="1" customWidth="1"/>
    <col min="14342" max="14342" width="15.875" customWidth="1"/>
    <col min="14343" max="14343" width="13" customWidth="1"/>
    <col min="14345" max="14345" width="20.375" customWidth="1"/>
    <col min="14347" max="14347" width="20.375" bestFit="1" customWidth="1"/>
    <col min="14593" max="14593" width="33.125" bestFit="1" customWidth="1"/>
    <col min="14594" max="14594" width="15.875" customWidth="1"/>
    <col min="14595" max="14595" width="18.875" bestFit="1" customWidth="1"/>
    <col min="14596" max="14596" width="34.625" bestFit="1" customWidth="1"/>
    <col min="14597" max="14597" width="24.625" bestFit="1" customWidth="1"/>
    <col min="14598" max="14598" width="15.875" customWidth="1"/>
    <col min="14599" max="14599" width="13" customWidth="1"/>
    <col min="14601" max="14601" width="20.375" customWidth="1"/>
    <col min="14603" max="14603" width="20.375" bestFit="1" customWidth="1"/>
    <col min="14849" max="14849" width="33.125" bestFit="1" customWidth="1"/>
    <col min="14850" max="14850" width="15.875" customWidth="1"/>
    <col min="14851" max="14851" width="18.875" bestFit="1" customWidth="1"/>
    <col min="14852" max="14852" width="34.625" bestFit="1" customWidth="1"/>
    <col min="14853" max="14853" width="24.625" bestFit="1" customWidth="1"/>
    <col min="14854" max="14854" width="15.875" customWidth="1"/>
    <col min="14855" max="14855" width="13" customWidth="1"/>
    <col min="14857" max="14857" width="20.375" customWidth="1"/>
    <col min="14859" max="14859" width="20.375" bestFit="1" customWidth="1"/>
    <col min="15105" max="15105" width="33.125" bestFit="1" customWidth="1"/>
    <col min="15106" max="15106" width="15.875" customWidth="1"/>
    <col min="15107" max="15107" width="18.875" bestFit="1" customWidth="1"/>
    <col min="15108" max="15108" width="34.625" bestFit="1" customWidth="1"/>
    <col min="15109" max="15109" width="24.625" bestFit="1" customWidth="1"/>
    <col min="15110" max="15110" width="15.875" customWidth="1"/>
    <col min="15111" max="15111" width="13" customWidth="1"/>
    <col min="15113" max="15113" width="20.375" customWidth="1"/>
    <col min="15115" max="15115" width="20.375" bestFit="1" customWidth="1"/>
    <col min="15361" max="15361" width="33.125" bestFit="1" customWidth="1"/>
    <col min="15362" max="15362" width="15.875" customWidth="1"/>
    <col min="15363" max="15363" width="18.875" bestFit="1" customWidth="1"/>
    <col min="15364" max="15364" width="34.625" bestFit="1" customWidth="1"/>
    <col min="15365" max="15365" width="24.625" bestFit="1" customWidth="1"/>
    <col min="15366" max="15366" width="15.875" customWidth="1"/>
    <col min="15367" max="15367" width="13" customWidth="1"/>
    <col min="15369" max="15369" width="20.375" customWidth="1"/>
    <col min="15371" max="15371" width="20.375" bestFit="1" customWidth="1"/>
    <col min="15617" max="15617" width="33.125" bestFit="1" customWidth="1"/>
    <col min="15618" max="15618" width="15.875" customWidth="1"/>
    <col min="15619" max="15619" width="18.875" bestFit="1" customWidth="1"/>
    <col min="15620" max="15620" width="34.625" bestFit="1" customWidth="1"/>
    <col min="15621" max="15621" width="24.625" bestFit="1" customWidth="1"/>
    <col min="15622" max="15622" width="15.875" customWidth="1"/>
    <col min="15623" max="15623" width="13" customWidth="1"/>
    <col min="15625" max="15625" width="20.375" customWidth="1"/>
    <col min="15627" max="15627" width="20.375" bestFit="1" customWidth="1"/>
    <col min="15873" max="15873" width="33.125" bestFit="1" customWidth="1"/>
    <col min="15874" max="15874" width="15.875" customWidth="1"/>
    <col min="15875" max="15875" width="18.875" bestFit="1" customWidth="1"/>
    <col min="15876" max="15876" width="34.625" bestFit="1" customWidth="1"/>
    <col min="15877" max="15877" width="24.625" bestFit="1" customWidth="1"/>
    <col min="15878" max="15878" width="15.875" customWidth="1"/>
    <col min="15879" max="15879" width="13" customWidth="1"/>
    <col min="15881" max="15881" width="20.375" customWidth="1"/>
    <col min="15883" max="15883" width="20.375" bestFit="1" customWidth="1"/>
    <col min="16129" max="16129" width="33.125" bestFit="1" customWidth="1"/>
    <col min="16130" max="16130" width="15.875" customWidth="1"/>
    <col min="16131" max="16131" width="18.875" bestFit="1" customWidth="1"/>
    <col min="16132" max="16132" width="34.625" bestFit="1" customWidth="1"/>
    <col min="16133" max="16133" width="24.625" bestFit="1" customWidth="1"/>
    <col min="16134" max="16134" width="15.875" customWidth="1"/>
    <col min="16135" max="16135" width="13" customWidth="1"/>
    <col min="16137" max="16137" width="20.375" customWidth="1"/>
    <col min="16139" max="16139" width="20.375" bestFit="1" customWidth="1"/>
  </cols>
  <sheetData>
    <row r="1" spans="1:11">
      <c r="A1" s="49" t="s">
        <v>118</v>
      </c>
      <c r="B1" s="197">
        <v>43835</v>
      </c>
      <c r="C1" s="198"/>
      <c r="D1" s="198"/>
      <c r="E1" s="198"/>
      <c r="F1" s="198"/>
      <c r="G1" s="252"/>
    </row>
    <row r="2" spans="1:11">
      <c r="A2" s="51" t="s">
        <v>121</v>
      </c>
      <c r="B2" s="205" t="s">
        <v>122</v>
      </c>
      <c r="C2" s="206"/>
      <c r="D2" s="206"/>
      <c r="E2" s="206"/>
      <c r="F2" s="206"/>
      <c r="G2" s="253"/>
      <c r="I2" s="254" t="s">
        <v>342</v>
      </c>
    </row>
    <row r="3" spans="1:11">
      <c r="A3" s="51" t="s">
        <v>124</v>
      </c>
      <c r="B3" s="213" t="s">
        <v>343</v>
      </c>
      <c r="C3" s="214"/>
      <c r="D3" s="214"/>
      <c r="E3" s="215"/>
      <c r="F3" s="213" t="s">
        <v>126</v>
      </c>
      <c r="G3" s="255"/>
      <c r="H3" s="143"/>
      <c r="I3" s="254"/>
      <c r="J3" s="143"/>
    </row>
    <row r="4" spans="1:11">
      <c r="A4" s="51" t="s">
        <v>127</v>
      </c>
      <c r="B4" s="216" t="s">
        <v>128</v>
      </c>
      <c r="C4" s="217"/>
      <c r="D4" s="217"/>
      <c r="E4" s="217"/>
      <c r="F4" s="217"/>
      <c r="G4" s="256"/>
      <c r="I4" s="254"/>
    </row>
    <row r="5" spans="1:11">
      <c r="A5" s="51" t="s">
        <v>129</v>
      </c>
      <c r="B5" s="218" t="s">
        <v>130</v>
      </c>
      <c r="C5" s="219"/>
      <c r="D5" s="219"/>
      <c r="E5" s="219"/>
      <c r="F5" s="219"/>
      <c r="G5" s="257"/>
      <c r="I5" s="254"/>
    </row>
    <row r="6" spans="1:11" s="1" customFormat="1">
      <c r="A6" s="51" t="s">
        <v>131</v>
      </c>
      <c r="B6" s="205" t="s">
        <v>132</v>
      </c>
      <c r="C6" s="206"/>
      <c r="D6" s="206"/>
      <c r="E6" s="206"/>
      <c r="F6" s="206"/>
      <c r="G6" s="253"/>
      <c r="I6" s="254"/>
    </row>
    <row r="7" spans="1:11" ht="16.5" thickBot="1">
      <c r="A7" s="144" t="s">
        <v>133</v>
      </c>
      <c r="B7" s="249" t="s">
        <v>134</v>
      </c>
      <c r="C7" s="250"/>
      <c r="D7" s="250"/>
      <c r="E7" s="250"/>
      <c r="F7" s="250"/>
      <c r="G7" s="251"/>
    </row>
    <row r="8" spans="1:11">
      <c r="A8" s="145" t="s">
        <v>344</v>
      </c>
      <c r="B8" s="145"/>
      <c r="C8" s="145"/>
      <c r="D8" s="145"/>
      <c r="E8" s="146"/>
      <c r="F8" s="146"/>
      <c r="G8" s="146" t="s">
        <v>345</v>
      </c>
      <c r="H8" s="146"/>
      <c r="I8" s="146"/>
      <c r="J8" s="146"/>
      <c r="K8" s="146"/>
    </row>
    <row r="9" spans="1:11">
      <c r="A9" s="146" t="s">
        <v>346</v>
      </c>
      <c r="B9" s="146"/>
      <c r="C9" s="146"/>
      <c r="D9" s="147">
        <v>1.9199999999999998E-2</v>
      </c>
      <c r="E9" s="146"/>
      <c r="F9" s="146"/>
      <c r="G9" s="148" t="s">
        <v>347</v>
      </c>
      <c r="H9" s="148"/>
      <c r="I9" s="148" t="s">
        <v>348</v>
      </c>
      <c r="J9" s="146"/>
      <c r="K9" s="146"/>
    </row>
    <row r="10" spans="1:11">
      <c r="A10" s="146" t="s">
        <v>349</v>
      </c>
      <c r="B10" s="146"/>
      <c r="C10" s="146"/>
      <c r="D10" s="149">
        <v>5.1999999999999998E-2</v>
      </c>
      <c r="E10" s="146"/>
      <c r="F10" s="146"/>
      <c r="G10" s="150">
        <v>0</v>
      </c>
      <c r="H10" s="151">
        <v>0.25</v>
      </c>
      <c r="I10" s="152">
        <v>8.0000000000000002E-3</v>
      </c>
      <c r="J10" s="146"/>
      <c r="K10" s="146"/>
    </row>
    <row r="11" spans="1:11">
      <c r="A11" s="146" t="s">
        <v>350</v>
      </c>
      <c r="B11" s="146"/>
      <c r="C11" s="146"/>
      <c r="D11" s="153">
        <v>0</v>
      </c>
      <c r="E11" s="146"/>
      <c r="F11" s="146"/>
      <c r="G11" s="150">
        <v>0.25</v>
      </c>
      <c r="H11" s="151">
        <v>0.4</v>
      </c>
      <c r="I11" s="152">
        <v>1.35E-2</v>
      </c>
      <c r="J11" s="146"/>
      <c r="K11" s="146"/>
    </row>
    <row r="12" spans="1:11">
      <c r="A12" s="146" t="s">
        <v>351</v>
      </c>
      <c r="B12" s="146"/>
      <c r="C12" s="146"/>
      <c r="D12" s="146"/>
      <c r="E12" s="146"/>
      <c r="F12" s="154" t="s">
        <v>352</v>
      </c>
      <c r="G12" s="150">
        <v>0.4</v>
      </c>
      <c r="H12" s="151">
        <v>0.65</v>
      </c>
      <c r="I12" s="152">
        <v>1.7500000000000002E-2</v>
      </c>
      <c r="J12" s="146"/>
      <c r="K12" s="146"/>
    </row>
    <row r="13" spans="1:11">
      <c r="A13" s="146" t="s">
        <v>353</v>
      </c>
      <c r="B13" s="146"/>
      <c r="C13" s="146"/>
      <c r="D13" s="146"/>
      <c r="E13" s="146"/>
      <c r="F13" s="155">
        <v>0.25</v>
      </c>
      <c r="G13" s="150">
        <v>0.65</v>
      </c>
      <c r="H13" s="151">
        <v>0.75</v>
      </c>
      <c r="I13" s="152">
        <v>2.5000000000000001E-2</v>
      </c>
      <c r="J13" s="146"/>
      <c r="K13" s="146"/>
    </row>
    <row r="14" spans="1:11">
      <c r="A14" s="146"/>
      <c r="B14" s="146"/>
      <c r="C14" s="146"/>
      <c r="D14" s="146"/>
      <c r="E14" s="146"/>
      <c r="F14" s="146"/>
      <c r="G14" s="150">
        <v>0.75</v>
      </c>
      <c r="H14" s="151">
        <v>0.9</v>
      </c>
      <c r="I14" s="152">
        <v>0.05</v>
      </c>
      <c r="J14" s="146"/>
      <c r="K14" s="146"/>
    </row>
    <row r="15" spans="1:11">
      <c r="A15" s="156" t="s">
        <v>354</v>
      </c>
      <c r="B15" s="146"/>
      <c r="C15" s="146"/>
      <c r="D15" s="146"/>
      <c r="E15" s="146"/>
      <c r="F15" s="146"/>
      <c r="G15" s="150">
        <v>0.9</v>
      </c>
      <c r="H15" s="151">
        <v>1</v>
      </c>
      <c r="I15" s="152">
        <v>6.5000000000000002E-2</v>
      </c>
      <c r="J15" s="146"/>
      <c r="K15" s="146"/>
    </row>
    <row r="16" spans="1:11">
      <c r="A16" s="146" t="s">
        <v>355</v>
      </c>
      <c r="B16" s="146"/>
      <c r="C16" s="153">
        <v>0.06</v>
      </c>
      <c r="D16" s="146"/>
      <c r="E16" s="146"/>
      <c r="F16" s="146"/>
      <c r="G16" s="150">
        <v>1</v>
      </c>
      <c r="H16" s="151">
        <v>10</v>
      </c>
      <c r="I16" s="152">
        <v>7.4999999999999997E-2</v>
      </c>
      <c r="J16" s="146"/>
      <c r="K16" s="146"/>
    </row>
    <row r="17" spans="1:12">
      <c r="A17" s="146" t="s">
        <v>356</v>
      </c>
      <c r="B17" s="146"/>
      <c r="C17" s="153">
        <v>1.4999999999999999E-2</v>
      </c>
      <c r="D17" s="146"/>
      <c r="E17" s="146"/>
      <c r="F17" s="146"/>
      <c r="G17" s="146"/>
      <c r="H17" s="146"/>
      <c r="I17" s="146"/>
      <c r="J17" s="146"/>
      <c r="K17" s="146"/>
    </row>
    <row r="18" spans="1:12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</row>
    <row r="19" spans="1:12">
      <c r="A19" s="157" t="s">
        <v>357</v>
      </c>
      <c r="B19" s="157" t="s">
        <v>358</v>
      </c>
      <c r="C19" s="157" t="s">
        <v>359</v>
      </c>
      <c r="D19" s="157" t="s">
        <v>360</v>
      </c>
      <c r="E19" s="157" t="s">
        <v>361</v>
      </c>
      <c r="F19" s="157" t="s">
        <v>362</v>
      </c>
      <c r="G19" s="157" t="s">
        <v>363</v>
      </c>
      <c r="H19" s="157" t="s">
        <v>364</v>
      </c>
      <c r="I19" s="157" t="s">
        <v>365</v>
      </c>
      <c r="J19" s="157" t="s">
        <v>366</v>
      </c>
      <c r="K19" s="158" t="s">
        <v>367</v>
      </c>
      <c r="L19" s="159" t="s">
        <v>368</v>
      </c>
    </row>
    <row r="20" spans="1:12">
      <c r="A20" s="160" t="s">
        <v>156</v>
      </c>
      <c r="B20" s="161">
        <v>47</v>
      </c>
      <c r="C20" s="162">
        <v>1.4396117500000001</v>
      </c>
      <c r="D20" s="163">
        <f>$D$9+C20*$D$10</f>
        <v>9.4059810999999993E-2</v>
      </c>
      <c r="E20" s="163">
        <v>0.54029530037554108</v>
      </c>
      <c r="F20" s="163">
        <v>0.62376766299999997</v>
      </c>
      <c r="G20" s="66">
        <f>$D$9+VLOOKUP(F20,$G$10:$I$16,3)+$D$11</f>
        <v>3.6699999999999997E-2</v>
      </c>
      <c r="H20" s="66">
        <v>4.1307972999999998E-2</v>
      </c>
      <c r="I20" s="163">
        <f>IF($F$12="Yes",G20*(1-$F$13),G20*(1-H20))</f>
        <v>2.7524999999999997E-2</v>
      </c>
      <c r="J20" s="66">
        <f>1-E20</f>
        <v>0.45970469962445892</v>
      </c>
      <c r="K20" s="164">
        <f>D20*(1-J20)+I20*J20</f>
        <v>6.3473445694674849E-2</v>
      </c>
      <c r="L20" s="163">
        <f t="shared" ref="L20:L83" si="0">(1+K20)*((1+$C$16)/(1+$C$17))-1</f>
        <v>0.11062251471562101</v>
      </c>
    </row>
    <row r="21" spans="1:12">
      <c r="A21" s="160" t="s">
        <v>157</v>
      </c>
      <c r="B21" s="161">
        <v>77</v>
      </c>
      <c r="C21" s="162">
        <v>1.231583809</v>
      </c>
      <c r="D21" s="163">
        <f t="shared" ref="D21:D84" si="1">$D$9+C21*$D$10</f>
        <v>8.3242358067999997E-2</v>
      </c>
      <c r="E21" s="163">
        <v>0.80463882073880355</v>
      </c>
      <c r="F21" s="163">
        <v>0.387395563</v>
      </c>
      <c r="G21" s="66">
        <f t="shared" ref="G21:G84" si="2">$D$9+VLOOKUP(F21,$G$10:$I$16,3)+$D$11</f>
        <v>3.27E-2</v>
      </c>
      <c r="H21" s="66">
        <v>8.5443414999999995E-2</v>
      </c>
      <c r="I21" s="163">
        <f t="shared" ref="I21:I84" si="3">IF($F$12="Yes",G21*(1-$F$13),G21*(1-H21))</f>
        <v>2.4524999999999998E-2</v>
      </c>
      <c r="J21" s="66">
        <f t="shared" ref="J21:J84" si="4">1-E21</f>
        <v>0.19536117926119645</v>
      </c>
      <c r="K21" s="164">
        <f t="shared" ref="K21:K84" si="5">D21*(1-J21)+I21*J21</f>
        <v>7.1771265752733585E-2</v>
      </c>
      <c r="L21" s="163">
        <f t="shared" si="0"/>
        <v>0.119288218421574</v>
      </c>
    </row>
    <row r="22" spans="1:12">
      <c r="A22" s="160" t="s">
        <v>158</v>
      </c>
      <c r="B22" s="161">
        <v>18</v>
      </c>
      <c r="C22" s="162">
        <v>1.4353478609999999</v>
      </c>
      <c r="D22" s="163">
        <f t="shared" si="1"/>
        <v>9.3838088771999992E-2</v>
      </c>
      <c r="E22" s="163">
        <v>0.49157477058902865</v>
      </c>
      <c r="F22" s="163">
        <v>0.317396332</v>
      </c>
      <c r="G22" s="66">
        <f t="shared" si="2"/>
        <v>3.27E-2</v>
      </c>
      <c r="H22" s="66">
        <v>0.18471064300000001</v>
      </c>
      <c r="I22" s="163">
        <f t="shared" si="3"/>
        <v>2.4524999999999998E-2</v>
      </c>
      <c r="J22" s="66">
        <f t="shared" si="4"/>
        <v>0.50842522941097135</v>
      </c>
      <c r="K22" s="164">
        <f t="shared" si="5"/>
        <v>5.8597565711912873E-2</v>
      </c>
      <c r="L22" s="163">
        <f t="shared" si="0"/>
        <v>0.10553046271391886</v>
      </c>
    </row>
    <row r="23" spans="1:12">
      <c r="A23" s="160" t="s">
        <v>159</v>
      </c>
      <c r="B23" s="161">
        <v>51</v>
      </c>
      <c r="C23" s="162">
        <v>1.055096737</v>
      </c>
      <c r="D23" s="163">
        <f t="shared" si="1"/>
        <v>7.4065030323999997E-2</v>
      </c>
      <c r="E23" s="163">
        <v>0.7053766390833639</v>
      </c>
      <c r="F23" s="163">
        <v>0.51101909700000003</v>
      </c>
      <c r="G23" s="66">
        <f t="shared" si="2"/>
        <v>3.6699999999999997E-2</v>
      </c>
      <c r="H23" s="66">
        <v>0.11111647600000001</v>
      </c>
      <c r="I23" s="163">
        <f t="shared" si="3"/>
        <v>2.7524999999999997E-2</v>
      </c>
      <c r="J23" s="66">
        <f t="shared" si="4"/>
        <v>0.2946233609166361</v>
      </c>
      <c r="K23" s="164">
        <f t="shared" si="5"/>
        <v>6.035325017278096E-2</v>
      </c>
      <c r="L23" s="163">
        <f t="shared" si="0"/>
        <v>0.10736398540211622</v>
      </c>
    </row>
    <row r="24" spans="1:12">
      <c r="A24" s="160" t="s">
        <v>160</v>
      </c>
      <c r="B24" s="161">
        <v>13</v>
      </c>
      <c r="C24" s="162">
        <v>1.095074098</v>
      </c>
      <c r="D24" s="163">
        <f t="shared" si="1"/>
        <v>7.6143853095999997E-2</v>
      </c>
      <c r="E24" s="163">
        <v>0.377461600938367</v>
      </c>
      <c r="F24" s="163">
        <v>0.35018877700000001</v>
      </c>
      <c r="G24" s="66">
        <f t="shared" si="2"/>
        <v>3.27E-2</v>
      </c>
      <c r="H24" s="66">
        <v>5.9326293000000002E-2</v>
      </c>
      <c r="I24" s="163">
        <f t="shared" si="3"/>
        <v>2.4524999999999998E-2</v>
      </c>
      <c r="J24" s="66">
        <f t="shared" si="4"/>
        <v>0.622538399061633</v>
      </c>
      <c r="K24" s="164">
        <f t="shared" si="5"/>
        <v>4.4009134928218542E-2</v>
      </c>
      <c r="L24" s="163">
        <f t="shared" si="0"/>
        <v>9.0295254210750464E-2</v>
      </c>
    </row>
    <row r="25" spans="1:12">
      <c r="A25" s="160" t="s">
        <v>161</v>
      </c>
      <c r="B25" s="161">
        <v>46</v>
      </c>
      <c r="C25" s="162">
        <v>1.2109700219999999</v>
      </c>
      <c r="D25" s="163">
        <f t="shared" si="1"/>
        <v>8.2170441143999989E-2</v>
      </c>
      <c r="E25" s="163">
        <v>0.66284960106585089</v>
      </c>
      <c r="F25" s="163">
        <v>0.50433022000000005</v>
      </c>
      <c r="G25" s="66">
        <f t="shared" si="2"/>
        <v>3.6699999999999997E-2</v>
      </c>
      <c r="H25" s="66">
        <v>7.2498900000000005E-2</v>
      </c>
      <c r="I25" s="163">
        <f t="shared" si="3"/>
        <v>2.7524999999999997E-2</v>
      </c>
      <c r="J25" s="66">
        <f t="shared" si="4"/>
        <v>0.33715039893414911</v>
      </c>
      <c r="K25" s="164">
        <f t="shared" si="5"/>
        <v>6.3746708862367829E-2</v>
      </c>
      <c r="L25" s="163">
        <f t="shared" si="0"/>
        <v>0.11090789299912296</v>
      </c>
    </row>
    <row r="26" spans="1:12">
      <c r="A26" s="160" t="s">
        <v>162</v>
      </c>
      <c r="B26" s="161">
        <v>7</v>
      </c>
      <c r="C26" s="162">
        <v>1.000862659</v>
      </c>
      <c r="D26" s="163">
        <f t="shared" si="1"/>
        <v>7.1244858267999991E-2</v>
      </c>
      <c r="E26" s="163">
        <v>0.36003849427945911</v>
      </c>
      <c r="F26" s="163">
        <v>0.177446458</v>
      </c>
      <c r="G26" s="66">
        <f t="shared" si="2"/>
        <v>2.7199999999999998E-2</v>
      </c>
      <c r="H26" s="66">
        <v>0.193558691</v>
      </c>
      <c r="I26" s="163">
        <f t="shared" si="3"/>
        <v>2.0399999999999998E-2</v>
      </c>
      <c r="J26" s="66">
        <f t="shared" si="4"/>
        <v>0.63996150572054089</v>
      </c>
      <c r="K26" s="164">
        <f t="shared" si="5"/>
        <v>3.8706106212663224E-2</v>
      </c>
      <c r="L26" s="163">
        <f t="shared" si="0"/>
        <v>8.4757115847707398E-2</v>
      </c>
    </row>
    <row r="27" spans="1:12">
      <c r="A27" s="160" t="s">
        <v>164</v>
      </c>
      <c r="B27" s="161">
        <v>611</v>
      </c>
      <c r="C27" s="162">
        <v>0.56698275799999998</v>
      </c>
      <c r="D27" s="163">
        <f t="shared" si="1"/>
        <v>4.8683103415999997E-2</v>
      </c>
      <c r="E27" s="163">
        <v>0.61379923127313196</v>
      </c>
      <c r="F27" s="163">
        <v>0.182632184</v>
      </c>
      <c r="G27" s="66">
        <f t="shared" si="2"/>
        <v>2.7199999999999998E-2</v>
      </c>
      <c r="H27" s="66">
        <v>0.17462836700000001</v>
      </c>
      <c r="I27" s="163">
        <f t="shared" si="3"/>
        <v>2.0399999999999998E-2</v>
      </c>
      <c r="J27" s="66">
        <f t="shared" si="4"/>
        <v>0.38620076872686804</v>
      </c>
      <c r="K27" s="164">
        <f t="shared" si="5"/>
        <v>3.7760147134759288E-2</v>
      </c>
      <c r="L27" s="163">
        <f t="shared" si="0"/>
        <v>8.3769217697384102E-2</v>
      </c>
    </row>
    <row r="28" spans="1:12">
      <c r="A28" s="160" t="s">
        <v>165</v>
      </c>
      <c r="B28" s="161">
        <v>21</v>
      </c>
      <c r="C28" s="162">
        <v>1.126335082</v>
      </c>
      <c r="D28" s="163">
        <f t="shared" si="1"/>
        <v>7.7769424263999992E-2</v>
      </c>
      <c r="E28" s="163">
        <v>0.7617333244560428</v>
      </c>
      <c r="F28" s="163">
        <v>0.42462515200000001</v>
      </c>
      <c r="G28" s="66">
        <f t="shared" si="2"/>
        <v>3.6699999999999997E-2</v>
      </c>
      <c r="H28" s="66">
        <v>6.6164509999999996E-2</v>
      </c>
      <c r="I28" s="163">
        <f t="shared" si="3"/>
        <v>2.7524999999999997E-2</v>
      </c>
      <c r="J28" s="66">
        <f t="shared" si="4"/>
        <v>0.2382666755439572</v>
      </c>
      <c r="K28" s="164">
        <f t="shared" si="5"/>
        <v>6.5797852329996576E-2</v>
      </c>
      <c r="L28" s="163">
        <f t="shared" si="0"/>
        <v>0.11304997386186844</v>
      </c>
    </row>
    <row r="29" spans="1:12">
      <c r="A29" s="160" t="s">
        <v>166</v>
      </c>
      <c r="B29" s="161">
        <v>34</v>
      </c>
      <c r="C29" s="162">
        <v>1.2188969089999999</v>
      </c>
      <c r="D29" s="163">
        <f t="shared" si="1"/>
        <v>8.2582639267999983E-2</v>
      </c>
      <c r="E29" s="163">
        <v>0.83865647505723495</v>
      </c>
      <c r="F29" s="163">
        <v>0.57076926299999997</v>
      </c>
      <c r="G29" s="66">
        <f t="shared" si="2"/>
        <v>3.6699999999999997E-2</v>
      </c>
      <c r="H29" s="66">
        <v>4.0047920000000001E-2</v>
      </c>
      <c r="I29" s="163">
        <f t="shared" si="3"/>
        <v>2.7524999999999997E-2</v>
      </c>
      <c r="J29" s="66">
        <f t="shared" si="4"/>
        <v>0.16134352494276505</v>
      </c>
      <c r="K29" s="164">
        <f t="shared" si="5"/>
        <v>7.3699445673473668E-2</v>
      </c>
      <c r="L29" s="163">
        <f t="shared" si="0"/>
        <v>0.12130188415160803</v>
      </c>
    </row>
    <row r="30" spans="1:12">
      <c r="A30" s="160" t="s">
        <v>167</v>
      </c>
      <c r="B30" s="161">
        <v>27</v>
      </c>
      <c r="C30" s="162">
        <v>1.213678059</v>
      </c>
      <c r="D30" s="163">
        <f t="shared" si="1"/>
        <v>8.2311259067999992E-2</v>
      </c>
      <c r="E30" s="163">
        <v>0.50389989510298394</v>
      </c>
      <c r="F30" s="163">
        <v>0.32651548200000002</v>
      </c>
      <c r="G30" s="66">
        <f t="shared" si="2"/>
        <v>3.27E-2</v>
      </c>
      <c r="H30" s="66">
        <v>0.13307208100000001</v>
      </c>
      <c r="I30" s="163">
        <f t="shared" si="3"/>
        <v>2.4524999999999998E-2</v>
      </c>
      <c r="J30" s="66">
        <f t="shared" si="4"/>
        <v>0.49610010489701606</v>
      </c>
      <c r="K30" s="164">
        <f t="shared" si="5"/>
        <v>5.3643489882759049E-2</v>
      </c>
      <c r="L30" s="163">
        <f t="shared" si="0"/>
        <v>0.10035674805490125</v>
      </c>
    </row>
    <row r="31" spans="1:12">
      <c r="A31" s="160" t="s">
        <v>168</v>
      </c>
      <c r="B31" s="161">
        <v>39</v>
      </c>
      <c r="C31" s="162">
        <v>1.460916203</v>
      </c>
      <c r="D31" s="163">
        <f t="shared" si="1"/>
        <v>9.5167642555999993E-2</v>
      </c>
      <c r="E31" s="163">
        <v>0.27145327156130072</v>
      </c>
      <c r="F31" s="163">
        <v>0.273615777</v>
      </c>
      <c r="G31" s="66">
        <f t="shared" si="2"/>
        <v>3.27E-2</v>
      </c>
      <c r="H31" s="66">
        <v>0.12827924800000001</v>
      </c>
      <c r="I31" s="163">
        <f t="shared" si="3"/>
        <v>2.4524999999999998E-2</v>
      </c>
      <c r="J31" s="66">
        <f t="shared" si="4"/>
        <v>0.72854672843869928</v>
      </c>
      <c r="K31" s="164">
        <f t="shared" si="5"/>
        <v>4.3701176433561764E-2</v>
      </c>
      <c r="L31" s="163">
        <f t="shared" si="0"/>
        <v>8.997364238381822E-2</v>
      </c>
    </row>
    <row r="32" spans="1:12">
      <c r="A32" s="160" t="s">
        <v>169</v>
      </c>
      <c r="B32" s="161">
        <v>42</v>
      </c>
      <c r="C32" s="162">
        <v>1.2316485930000001</v>
      </c>
      <c r="D32" s="163">
        <f t="shared" si="1"/>
        <v>8.3245726835999997E-2</v>
      </c>
      <c r="E32" s="163">
        <v>0.75715084723895676</v>
      </c>
      <c r="F32" s="163">
        <v>0.30778449400000002</v>
      </c>
      <c r="G32" s="66">
        <f t="shared" si="2"/>
        <v>3.27E-2</v>
      </c>
      <c r="H32" s="66">
        <v>0.16263942000000001</v>
      </c>
      <c r="I32" s="163">
        <f t="shared" si="3"/>
        <v>2.4524999999999998E-2</v>
      </c>
      <c r="J32" s="66">
        <f t="shared" si="4"/>
        <v>0.24284915276104324</v>
      </c>
      <c r="K32" s="164">
        <f t="shared" si="5"/>
        <v>6.8985448074364741E-2</v>
      </c>
      <c r="L32" s="163">
        <f t="shared" si="0"/>
        <v>0.11637889158505099</v>
      </c>
    </row>
    <row r="33" spans="1:12">
      <c r="A33" s="160" t="s">
        <v>170</v>
      </c>
      <c r="B33" s="161">
        <v>165</v>
      </c>
      <c r="C33" s="162">
        <v>1.065922206</v>
      </c>
      <c r="D33" s="163">
        <f t="shared" si="1"/>
        <v>7.4627954711999997E-2</v>
      </c>
      <c r="E33" s="163">
        <v>0.76742820742590401</v>
      </c>
      <c r="F33" s="163">
        <v>0.43797296699999999</v>
      </c>
      <c r="G33" s="66">
        <f t="shared" si="2"/>
        <v>3.6699999999999997E-2</v>
      </c>
      <c r="H33" s="66">
        <v>8.3169501000000007E-2</v>
      </c>
      <c r="I33" s="163">
        <f t="shared" si="3"/>
        <v>2.7524999999999997E-2</v>
      </c>
      <c r="J33" s="66">
        <f t="shared" si="4"/>
        <v>0.23257179257409599</v>
      </c>
      <c r="K33" s="164">
        <f t="shared" si="5"/>
        <v>6.3673136099093697E-2</v>
      </c>
      <c r="L33" s="163">
        <f t="shared" si="0"/>
        <v>0.11083105838920138</v>
      </c>
    </row>
    <row r="34" spans="1:12">
      <c r="A34" s="160" t="s">
        <v>171</v>
      </c>
      <c r="B34" s="161">
        <v>14</v>
      </c>
      <c r="C34" s="162">
        <v>1.1145650039999999</v>
      </c>
      <c r="D34" s="163">
        <f t="shared" si="1"/>
        <v>7.715738020799999E-2</v>
      </c>
      <c r="E34" s="163">
        <v>0.62432916931322258</v>
      </c>
      <c r="F34" s="163">
        <v>0.25027460600000001</v>
      </c>
      <c r="G34" s="66">
        <f t="shared" si="2"/>
        <v>3.27E-2</v>
      </c>
      <c r="H34" s="66">
        <v>0.14548892199999999</v>
      </c>
      <c r="I34" s="163">
        <f t="shared" si="3"/>
        <v>2.4524999999999998E-2</v>
      </c>
      <c r="J34" s="66">
        <f t="shared" si="4"/>
        <v>0.37567083068677742</v>
      </c>
      <c r="K34" s="164">
        <f t="shared" si="5"/>
        <v>5.7384930214238329E-2</v>
      </c>
      <c r="L34" s="163">
        <f t="shared" si="0"/>
        <v>0.10426406505132291</v>
      </c>
    </row>
    <row r="35" spans="1:12">
      <c r="A35" s="160" t="s">
        <v>172</v>
      </c>
      <c r="B35" s="161">
        <v>43</v>
      </c>
      <c r="C35" s="162">
        <v>1.3668277090000001</v>
      </c>
      <c r="D35" s="163">
        <f t="shared" si="1"/>
        <v>9.0275040867999992E-2</v>
      </c>
      <c r="E35" s="163">
        <v>0.62078422946349288</v>
      </c>
      <c r="F35" s="163">
        <v>0.51958372900000005</v>
      </c>
      <c r="G35" s="66">
        <f t="shared" si="2"/>
        <v>3.6699999999999997E-2</v>
      </c>
      <c r="H35" s="66">
        <v>6.6647070000000003E-2</v>
      </c>
      <c r="I35" s="163">
        <f t="shared" si="3"/>
        <v>2.7524999999999997E-2</v>
      </c>
      <c r="J35" s="66">
        <f t="shared" si="4"/>
        <v>0.37921577053650712</v>
      </c>
      <c r="K35" s="164">
        <f t="shared" si="5"/>
        <v>6.6479235769044062E-2</v>
      </c>
      <c r="L35" s="163">
        <f t="shared" si="0"/>
        <v>0.11376156641890312</v>
      </c>
    </row>
    <row r="36" spans="1:12">
      <c r="A36" s="160" t="s">
        <v>173</v>
      </c>
      <c r="B36" s="161">
        <v>6</v>
      </c>
      <c r="C36" s="162">
        <v>1.8528643010000001</v>
      </c>
      <c r="D36" s="163">
        <f t="shared" si="1"/>
        <v>0.115548943652</v>
      </c>
      <c r="E36" s="163">
        <v>0.55972163971460831</v>
      </c>
      <c r="F36" s="163">
        <v>0.35918607699999999</v>
      </c>
      <c r="G36" s="66">
        <f t="shared" si="2"/>
        <v>3.27E-2</v>
      </c>
      <c r="H36" s="66">
        <v>0.11893261099999999</v>
      </c>
      <c r="I36" s="163">
        <f t="shared" si="3"/>
        <v>2.4524999999999998E-2</v>
      </c>
      <c r="J36" s="66">
        <f t="shared" si="4"/>
        <v>0.44027836028539169</v>
      </c>
      <c r="K36" s="164">
        <f t="shared" si="5"/>
        <v>7.5473070994187555E-2</v>
      </c>
      <c r="L36" s="163">
        <f t="shared" si="0"/>
        <v>0.1231541431072305</v>
      </c>
    </row>
    <row r="37" spans="1:12">
      <c r="A37" s="160" t="s">
        <v>174</v>
      </c>
      <c r="B37" s="161">
        <v>94</v>
      </c>
      <c r="C37" s="162">
        <v>1.1351903860000001</v>
      </c>
      <c r="D37" s="163">
        <f t="shared" si="1"/>
        <v>7.8229900071999994E-2</v>
      </c>
      <c r="E37" s="163">
        <v>0.77805033782461153</v>
      </c>
      <c r="F37" s="163">
        <v>0.48361232900000001</v>
      </c>
      <c r="G37" s="66">
        <f t="shared" si="2"/>
        <v>3.6699999999999997E-2</v>
      </c>
      <c r="H37" s="66">
        <v>0.110084529</v>
      </c>
      <c r="I37" s="163">
        <f t="shared" si="3"/>
        <v>2.7524999999999997E-2</v>
      </c>
      <c r="J37" s="66">
        <f t="shared" si="4"/>
        <v>0.22194966217538847</v>
      </c>
      <c r="K37" s="164">
        <f t="shared" si="5"/>
        <v>6.6975964630382773E-2</v>
      </c>
      <c r="L37" s="163">
        <f t="shared" si="0"/>
        <v>0.11428031774207459</v>
      </c>
    </row>
    <row r="38" spans="1:12">
      <c r="A38" s="160" t="s">
        <v>175</v>
      </c>
      <c r="B38" s="161">
        <v>22</v>
      </c>
      <c r="C38" s="162">
        <v>1.3959042749999999</v>
      </c>
      <c r="D38" s="163">
        <f t="shared" si="1"/>
        <v>9.1787022299999993E-2</v>
      </c>
      <c r="E38" s="163">
        <v>0.55651051196226065</v>
      </c>
      <c r="F38" s="163">
        <v>0.54709193</v>
      </c>
      <c r="G38" s="66">
        <f t="shared" si="2"/>
        <v>3.6699999999999997E-2</v>
      </c>
      <c r="H38" s="66">
        <v>9.6783930000000004E-3</v>
      </c>
      <c r="I38" s="163">
        <f t="shared" si="3"/>
        <v>2.7524999999999997E-2</v>
      </c>
      <c r="J38" s="66">
        <f t="shared" si="4"/>
        <v>0.44348948803773935</v>
      </c>
      <c r="K38" s="164">
        <f t="shared" si="5"/>
        <v>6.3287490929903212E-2</v>
      </c>
      <c r="L38" s="163">
        <f t="shared" si="0"/>
        <v>0.11042831565093358</v>
      </c>
    </row>
    <row r="39" spans="1:12">
      <c r="A39" s="160" t="s">
        <v>176</v>
      </c>
      <c r="B39" s="161">
        <v>106</v>
      </c>
      <c r="C39" s="162">
        <v>1.2030223950000001</v>
      </c>
      <c r="D39" s="163">
        <f t="shared" si="1"/>
        <v>8.1757164539999996E-2</v>
      </c>
      <c r="E39" s="163">
        <v>0.69134710667927768</v>
      </c>
      <c r="F39" s="163">
        <v>0.45521436300000001</v>
      </c>
      <c r="G39" s="66">
        <f t="shared" si="2"/>
        <v>3.6699999999999997E-2</v>
      </c>
      <c r="H39" s="66">
        <v>8.9215305999999994E-2</v>
      </c>
      <c r="I39" s="163">
        <f t="shared" si="3"/>
        <v>2.7524999999999997E-2</v>
      </c>
      <c r="J39" s="66">
        <f t="shared" si="4"/>
        <v>0.30865289332072232</v>
      </c>
      <c r="K39" s="164">
        <f t="shared" si="5"/>
        <v>6.5018250043683515E-2</v>
      </c>
      <c r="L39" s="163">
        <f t="shared" si="0"/>
        <v>0.11223580792739374</v>
      </c>
    </row>
    <row r="40" spans="1:12">
      <c r="A40" s="160" t="s">
        <v>177</v>
      </c>
      <c r="B40" s="161">
        <v>48</v>
      </c>
      <c r="C40" s="162">
        <v>1.748007023</v>
      </c>
      <c r="D40" s="163">
        <f t="shared" si="1"/>
        <v>0.110096365196</v>
      </c>
      <c r="E40" s="163">
        <v>0.86586934831598361</v>
      </c>
      <c r="F40" s="163">
        <v>0.50405888700000001</v>
      </c>
      <c r="G40" s="66">
        <f t="shared" si="2"/>
        <v>3.6699999999999997E-2</v>
      </c>
      <c r="H40" s="66">
        <v>6.2123291999999997E-2</v>
      </c>
      <c r="I40" s="163">
        <f t="shared" si="3"/>
        <v>2.7524999999999997E-2</v>
      </c>
      <c r="J40" s="66">
        <f t="shared" si="4"/>
        <v>0.13413065168401639</v>
      </c>
      <c r="K40" s="164">
        <f t="shared" si="5"/>
        <v>9.9021014171821603E-2</v>
      </c>
      <c r="L40" s="163">
        <f t="shared" si="0"/>
        <v>0.14774608376564613</v>
      </c>
    </row>
    <row r="41" spans="1:12">
      <c r="A41" s="160" t="s">
        <v>178</v>
      </c>
      <c r="B41" s="161">
        <v>44</v>
      </c>
      <c r="C41" s="162">
        <v>1.363622994</v>
      </c>
      <c r="D41" s="163">
        <f t="shared" si="1"/>
        <v>9.0108395687999984E-2</v>
      </c>
      <c r="E41" s="163">
        <v>0.7135853516314199</v>
      </c>
      <c r="F41" s="163">
        <v>0.29907074300000003</v>
      </c>
      <c r="G41" s="66">
        <f t="shared" si="2"/>
        <v>3.27E-2</v>
      </c>
      <c r="H41" s="66">
        <v>0.15817335699999999</v>
      </c>
      <c r="I41" s="163">
        <f t="shared" si="3"/>
        <v>2.4524999999999998E-2</v>
      </c>
      <c r="J41" s="66">
        <f t="shared" si="4"/>
        <v>0.2864146483685801</v>
      </c>
      <c r="K41" s="164">
        <f t="shared" si="5"/>
        <v>7.1324350473204012E-2</v>
      </c>
      <c r="L41" s="163">
        <f t="shared" si="0"/>
        <v>0.11882148916413415</v>
      </c>
    </row>
    <row r="42" spans="1:12">
      <c r="A42" s="160" t="s">
        <v>179</v>
      </c>
      <c r="B42" s="161">
        <v>23</v>
      </c>
      <c r="C42" s="162">
        <v>1.4018521020000001</v>
      </c>
      <c r="D42" s="163">
        <f t="shared" si="1"/>
        <v>9.2096309303999993E-2</v>
      </c>
      <c r="E42" s="163">
        <v>0.762430926513183</v>
      </c>
      <c r="F42" s="163">
        <v>0.38156955399999998</v>
      </c>
      <c r="G42" s="66">
        <f t="shared" si="2"/>
        <v>3.27E-2</v>
      </c>
      <c r="H42" s="66">
        <v>6.6835280999999996E-2</v>
      </c>
      <c r="I42" s="163">
        <f t="shared" si="3"/>
        <v>2.4524999999999998E-2</v>
      </c>
      <c r="J42" s="66">
        <f t="shared" si="4"/>
        <v>0.237569073486817</v>
      </c>
      <c r="K42" s="164">
        <f t="shared" si="5"/>
        <v>7.604345595835757E-2</v>
      </c>
      <c r="L42" s="163">
        <f t="shared" si="0"/>
        <v>0.12374981607473812</v>
      </c>
    </row>
    <row r="43" spans="1:12">
      <c r="A43" s="160" t="s">
        <v>180</v>
      </c>
      <c r="B43" s="161">
        <v>503</v>
      </c>
      <c r="C43" s="162">
        <v>1.4334516639999999</v>
      </c>
      <c r="D43" s="163">
        <f t="shared" si="1"/>
        <v>9.3739486527999988E-2</v>
      </c>
      <c r="E43" s="163">
        <v>0.87273461209672598</v>
      </c>
      <c r="F43" s="163">
        <v>0.67447285999999995</v>
      </c>
      <c r="G43" s="66">
        <f t="shared" si="2"/>
        <v>4.4200000000000003E-2</v>
      </c>
      <c r="H43" s="66">
        <v>6.0965699999999999E-3</v>
      </c>
      <c r="I43" s="163">
        <f t="shared" si="3"/>
        <v>3.3149999999999999E-2</v>
      </c>
      <c r="J43" s="66">
        <f t="shared" si="4"/>
        <v>0.12726538790327402</v>
      </c>
      <c r="K43" s="164">
        <f t="shared" si="5"/>
        <v>8.6028542022153875E-2</v>
      </c>
      <c r="L43" s="163">
        <f t="shared" si="0"/>
        <v>0.13417759068323454</v>
      </c>
    </row>
    <row r="44" spans="1:12">
      <c r="A44" s="160" t="s">
        <v>181</v>
      </c>
      <c r="B44" s="161">
        <v>267</v>
      </c>
      <c r="C44" s="162">
        <v>1.3615909020000001</v>
      </c>
      <c r="D44" s="163">
        <f t="shared" si="1"/>
        <v>9.0002726903999991E-2</v>
      </c>
      <c r="E44" s="163">
        <v>0.87009043961140387</v>
      </c>
      <c r="F44" s="163">
        <v>0.77136651300000003</v>
      </c>
      <c r="G44" s="66">
        <f t="shared" si="2"/>
        <v>6.9199999999999998E-2</v>
      </c>
      <c r="H44" s="66">
        <v>1.3589926E-2</v>
      </c>
      <c r="I44" s="163">
        <f t="shared" si="3"/>
        <v>5.1900000000000002E-2</v>
      </c>
      <c r="J44" s="66">
        <f t="shared" si="4"/>
        <v>0.12990956038859613</v>
      </c>
      <c r="K44" s="164">
        <f t="shared" si="5"/>
        <v>8.5052818402294617E-2</v>
      </c>
      <c r="L44" s="163">
        <f t="shared" si="0"/>
        <v>0.13315860838072147</v>
      </c>
    </row>
    <row r="45" spans="1:12">
      <c r="A45" s="160" t="s">
        <v>182</v>
      </c>
      <c r="B45" s="161">
        <v>35</v>
      </c>
      <c r="C45" s="162">
        <v>1.6056034619999999</v>
      </c>
      <c r="D45" s="163">
        <f t="shared" si="1"/>
        <v>0.10269138002399998</v>
      </c>
      <c r="E45" s="163">
        <v>0.74805614795514597</v>
      </c>
      <c r="F45" s="163">
        <v>0.37644069299999999</v>
      </c>
      <c r="G45" s="66">
        <f t="shared" si="2"/>
        <v>3.27E-2</v>
      </c>
      <c r="H45" s="66">
        <v>6.5591273000000005E-2</v>
      </c>
      <c r="I45" s="163">
        <f t="shared" si="3"/>
        <v>2.4524999999999998E-2</v>
      </c>
      <c r="J45" s="66">
        <f t="shared" si="4"/>
        <v>0.25194385204485403</v>
      </c>
      <c r="K45" s="164">
        <f t="shared" si="5"/>
        <v>8.2997841140351497E-2</v>
      </c>
      <c r="L45" s="163">
        <f t="shared" si="0"/>
        <v>0.13101252375248551</v>
      </c>
    </row>
    <row r="46" spans="1:12">
      <c r="A46" s="160" t="s">
        <v>183</v>
      </c>
      <c r="B46" s="161">
        <v>113</v>
      </c>
      <c r="C46" s="162">
        <v>1.444743618</v>
      </c>
      <c r="D46" s="163">
        <f t="shared" si="1"/>
        <v>9.4326668135999991E-2</v>
      </c>
      <c r="E46" s="163">
        <v>0.82647400358171685</v>
      </c>
      <c r="F46" s="163">
        <v>0.53671661199999998</v>
      </c>
      <c r="G46" s="66">
        <f t="shared" si="2"/>
        <v>3.6699999999999997E-2</v>
      </c>
      <c r="H46" s="66">
        <v>3.9412746999999998E-2</v>
      </c>
      <c r="I46" s="163">
        <f t="shared" si="3"/>
        <v>2.7524999999999997E-2</v>
      </c>
      <c r="J46" s="66">
        <f t="shared" si="4"/>
        <v>0.17352599641828315</v>
      </c>
      <c r="K46" s="164">
        <f t="shared" si="5"/>
        <v>8.2734842110297122E-2</v>
      </c>
      <c r="L46" s="163">
        <f t="shared" si="0"/>
        <v>0.13073786466691129</v>
      </c>
    </row>
    <row r="47" spans="1:12">
      <c r="A47" s="160" t="s">
        <v>184</v>
      </c>
      <c r="B47" s="161">
        <v>20</v>
      </c>
      <c r="C47" s="162">
        <v>1.2754168990000001</v>
      </c>
      <c r="D47" s="163">
        <f t="shared" si="1"/>
        <v>8.5521678747999999E-2</v>
      </c>
      <c r="E47" s="163">
        <v>0.82872213144704587</v>
      </c>
      <c r="F47" s="163">
        <v>0.62170468000000001</v>
      </c>
      <c r="G47" s="66">
        <f t="shared" si="2"/>
        <v>3.6699999999999997E-2</v>
      </c>
      <c r="H47" s="66">
        <v>5.4515738000000001E-2</v>
      </c>
      <c r="I47" s="163">
        <f t="shared" si="3"/>
        <v>2.7524999999999997E-2</v>
      </c>
      <c r="J47" s="66">
        <f t="shared" si="4"/>
        <v>0.17127786855295413</v>
      </c>
      <c r="K47" s="164">
        <f t="shared" si="5"/>
        <v>7.5588131228892144E-2</v>
      </c>
      <c r="L47" s="163">
        <f t="shared" si="0"/>
        <v>0.12327430453460675</v>
      </c>
    </row>
    <row r="48" spans="1:12">
      <c r="A48" s="160" t="s">
        <v>185</v>
      </c>
      <c r="B48" s="161">
        <v>153</v>
      </c>
      <c r="C48" s="162">
        <v>1.1509581369999999</v>
      </c>
      <c r="D48" s="163">
        <f t="shared" si="1"/>
        <v>7.9049823123999996E-2</v>
      </c>
      <c r="E48" s="163">
        <v>0.84575378295450321</v>
      </c>
      <c r="F48" s="163">
        <v>0.42778592900000001</v>
      </c>
      <c r="G48" s="66">
        <f t="shared" si="2"/>
        <v>3.6699999999999997E-2</v>
      </c>
      <c r="H48" s="66">
        <v>6.6475008000000002E-2</v>
      </c>
      <c r="I48" s="163">
        <f t="shared" si="3"/>
        <v>2.7524999999999997E-2</v>
      </c>
      <c r="J48" s="66">
        <f t="shared" si="4"/>
        <v>0.15424621704549679</v>
      </c>
      <c r="K48" s="164">
        <f t="shared" si="5"/>
        <v>7.1102314073184653E-2</v>
      </c>
      <c r="L48" s="163">
        <f t="shared" si="0"/>
        <v>0.11858960878578895</v>
      </c>
    </row>
    <row r="49" spans="1:12">
      <c r="A49" s="160" t="s">
        <v>186</v>
      </c>
      <c r="B49" s="161">
        <v>54</v>
      </c>
      <c r="C49" s="162">
        <v>1.5972992109999999</v>
      </c>
      <c r="D49" s="163">
        <f t="shared" si="1"/>
        <v>0.10225955897199999</v>
      </c>
      <c r="E49" s="163">
        <v>0.71802173837908523</v>
      </c>
      <c r="F49" s="163">
        <v>0.33192732400000002</v>
      </c>
      <c r="G49" s="66">
        <f t="shared" si="2"/>
        <v>3.27E-2</v>
      </c>
      <c r="H49" s="66">
        <v>9.4414994000000002E-2</v>
      </c>
      <c r="I49" s="163">
        <f t="shared" si="3"/>
        <v>2.4524999999999998E-2</v>
      </c>
      <c r="J49" s="66">
        <f t="shared" si="4"/>
        <v>0.28197826162091477</v>
      </c>
      <c r="K49" s="164">
        <f t="shared" si="5"/>
        <v>8.0340103165206955E-2</v>
      </c>
      <c r="L49" s="163">
        <f t="shared" si="0"/>
        <v>0.12823695502967425</v>
      </c>
    </row>
    <row r="50" spans="1:12">
      <c r="A50" s="160" t="s">
        <v>187</v>
      </c>
      <c r="B50" s="161">
        <v>107</v>
      </c>
      <c r="C50" s="162">
        <v>1.3331870219999999</v>
      </c>
      <c r="D50" s="163">
        <f t="shared" si="1"/>
        <v>8.8525725143999992E-2</v>
      </c>
      <c r="E50" s="163">
        <v>0.83287656217172579</v>
      </c>
      <c r="F50" s="163">
        <v>0.55572440400000001</v>
      </c>
      <c r="G50" s="66">
        <f t="shared" si="2"/>
        <v>3.6699999999999997E-2</v>
      </c>
      <c r="H50" s="66">
        <v>1.9337215000000001E-2</v>
      </c>
      <c r="I50" s="163">
        <f t="shared" si="3"/>
        <v>2.7524999999999997E-2</v>
      </c>
      <c r="J50" s="66">
        <f t="shared" si="4"/>
        <v>0.16712343782827421</v>
      </c>
      <c r="K50" s="164">
        <f t="shared" si="5"/>
        <v>7.8331074247917062E-2</v>
      </c>
      <c r="L50" s="163">
        <f t="shared" si="0"/>
        <v>0.12613885586481977</v>
      </c>
    </row>
    <row r="51" spans="1:12">
      <c r="A51" s="160" t="s">
        <v>188</v>
      </c>
      <c r="B51" s="161">
        <v>82</v>
      </c>
      <c r="C51" s="162">
        <v>1.2685057959999999</v>
      </c>
      <c r="D51" s="163">
        <f t="shared" si="1"/>
        <v>8.5162301391999984E-2</v>
      </c>
      <c r="E51" s="163">
        <v>0.75937419848480991</v>
      </c>
      <c r="F51" s="163">
        <v>0.44335314300000001</v>
      </c>
      <c r="G51" s="66">
        <f t="shared" si="2"/>
        <v>3.6699999999999997E-2</v>
      </c>
      <c r="H51" s="66">
        <v>4.1371107999999997E-2</v>
      </c>
      <c r="I51" s="163">
        <f t="shared" si="3"/>
        <v>2.7524999999999997E-2</v>
      </c>
      <c r="J51" s="66">
        <f t="shared" si="4"/>
        <v>0.24062580151519009</v>
      </c>
      <c r="K51" s="164">
        <f t="shared" si="5"/>
        <v>7.1293279547377408E-2</v>
      </c>
      <c r="L51" s="163">
        <f t="shared" si="0"/>
        <v>0.11878904070957663</v>
      </c>
    </row>
    <row r="52" spans="1:12">
      <c r="A52" s="160" t="s">
        <v>189</v>
      </c>
      <c r="B52" s="161">
        <v>31</v>
      </c>
      <c r="C52" s="162">
        <v>0.89362508299999999</v>
      </c>
      <c r="D52" s="163">
        <f t="shared" si="1"/>
        <v>6.5668504315999993E-2</v>
      </c>
      <c r="E52" s="163">
        <v>0.61580381788188177</v>
      </c>
      <c r="F52" s="163">
        <v>0.46876047700000001</v>
      </c>
      <c r="G52" s="66">
        <f t="shared" si="2"/>
        <v>3.6699999999999997E-2</v>
      </c>
      <c r="H52" s="66">
        <v>5.9148997000000002E-2</v>
      </c>
      <c r="I52" s="163">
        <f t="shared" si="3"/>
        <v>2.7524999999999997E-2</v>
      </c>
      <c r="J52" s="66">
        <f t="shared" si="4"/>
        <v>0.38419618211811823</v>
      </c>
      <c r="K52" s="164">
        <f t="shared" si="5"/>
        <v>5.101391558518683E-2</v>
      </c>
      <c r="L52" s="163">
        <f t="shared" si="0"/>
        <v>9.7610591645613809E-2</v>
      </c>
    </row>
    <row r="53" spans="1:12">
      <c r="A53" s="160" t="s">
        <v>190</v>
      </c>
      <c r="B53" s="161">
        <v>232</v>
      </c>
      <c r="C53" s="162">
        <v>0.732438335</v>
      </c>
      <c r="D53" s="163">
        <f t="shared" si="1"/>
        <v>5.7286793419999996E-2</v>
      </c>
      <c r="E53" s="163">
        <v>0.1018108441014598</v>
      </c>
      <c r="F53" s="163">
        <v>0.25703304100000002</v>
      </c>
      <c r="G53" s="66">
        <f t="shared" si="2"/>
        <v>3.27E-2</v>
      </c>
      <c r="H53" s="66">
        <v>0.14417444400000001</v>
      </c>
      <c r="I53" s="163">
        <f t="shared" si="3"/>
        <v>2.4524999999999998E-2</v>
      </c>
      <c r="J53" s="66">
        <f t="shared" si="4"/>
        <v>0.8981891558985402</v>
      </c>
      <c r="K53" s="164">
        <f t="shared" si="5"/>
        <v>2.786050584236785E-2</v>
      </c>
      <c r="L53" s="163">
        <f t="shared" si="0"/>
        <v>7.3430676052127941E-2</v>
      </c>
    </row>
    <row r="54" spans="1:12">
      <c r="A54" s="160" t="s">
        <v>191</v>
      </c>
      <c r="B54" s="161">
        <v>88</v>
      </c>
      <c r="C54" s="162">
        <v>0.87532183900000005</v>
      </c>
      <c r="D54" s="163">
        <f t="shared" si="1"/>
        <v>6.4716735627999997E-2</v>
      </c>
      <c r="E54" s="163">
        <v>0.72792215943295457</v>
      </c>
      <c r="F54" s="163">
        <v>0.31529091999999997</v>
      </c>
      <c r="G54" s="66">
        <f t="shared" si="2"/>
        <v>3.27E-2</v>
      </c>
      <c r="H54" s="66">
        <v>6.4442920000000001E-2</v>
      </c>
      <c r="I54" s="163">
        <f t="shared" si="3"/>
        <v>2.4524999999999998E-2</v>
      </c>
      <c r="J54" s="66">
        <f t="shared" si="4"/>
        <v>0.27207784056704543</v>
      </c>
      <c r="K54" s="164">
        <f t="shared" si="5"/>
        <v>5.3781454989692168E-2</v>
      </c>
      <c r="L54" s="163">
        <f t="shared" si="0"/>
        <v>0.10050082984145203</v>
      </c>
    </row>
    <row r="55" spans="1:12">
      <c r="A55" s="160" t="s">
        <v>192</v>
      </c>
      <c r="B55" s="161">
        <v>17</v>
      </c>
      <c r="C55" s="162">
        <v>0.86802289899999996</v>
      </c>
      <c r="D55" s="163">
        <f t="shared" si="1"/>
        <v>6.4337190747999998E-2</v>
      </c>
      <c r="E55" s="163">
        <v>0.69466778024832099</v>
      </c>
      <c r="F55" s="163">
        <v>0.31580572000000001</v>
      </c>
      <c r="G55" s="66">
        <f t="shared" si="2"/>
        <v>3.27E-2</v>
      </c>
      <c r="H55" s="66">
        <v>7.7881901000000003E-2</v>
      </c>
      <c r="I55" s="163">
        <f t="shared" si="3"/>
        <v>2.4524999999999998E-2</v>
      </c>
      <c r="J55" s="66">
        <f t="shared" si="4"/>
        <v>0.30533221975167901</v>
      </c>
      <c r="K55" s="164">
        <f t="shared" si="5"/>
        <v>5.2181246173735901E-2</v>
      </c>
      <c r="L55" s="163">
        <f t="shared" si="0"/>
        <v>9.8829675807054373E-2</v>
      </c>
    </row>
    <row r="56" spans="1:12">
      <c r="A56" s="160" t="s">
        <v>193</v>
      </c>
      <c r="B56" s="161">
        <v>35</v>
      </c>
      <c r="C56" s="162">
        <v>1.076595269</v>
      </c>
      <c r="D56" s="163">
        <f t="shared" si="1"/>
        <v>7.5182953987999998E-2</v>
      </c>
      <c r="E56" s="163">
        <v>0.67407469429245914</v>
      </c>
      <c r="F56" s="163">
        <v>0.43384310799999998</v>
      </c>
      <c r="G56" s="66">
        <f t="shared" si="2"/>
        <v>3.6699999999999997E-2</v>
      </c>
      <c r="H56" s="66">
        <v>8.1494560999999993E-2</v>
      </c>
      <c r="I56" s="163">
        <f t="shared" si="3"/>
        <v>2.7524999999999997E-2</v>
      </c>
      <c r="J56" s="66">
        <f t="shared" si="4"/>
        <v>0.32592530570754086</v>
      </c>
      <c r="K56" s="164">
        <f t="shared" si="5"/>
        <v>5.9650020765065176E-2</v>
      </c>
      <c r="L56" s="163">
        <f t="shared" si="0"/>
        <v>0.10662957833593012</v>
      </c>
    </row>
    <row r="57" spans="1:12">
      <c r="A57" s="160" t="s">
        <v>194</v>
      </c>
      <c r="B57" s="161">
        <v>22</v>
      </c>
      <c r="C57" s="162">
        <v>1.0723318509999999</v>
      </c>
      <c r="D57" s="163">
        <f t="shared" si="1"/>
        <v>7.4961256251999994E-2</v>
      </c>
      <c r="E57" s="163">
        <v>0.47028895888290412</v>
      </c>
      <c r="F57" s="163">
        <v>0.53761194999999995</v>
      </c>
      <c r="G57" s="66">
        <f t="shared" si="2"/>
        <v>3.6699999999999997E-2</v>
      </c>
      <c r="H57" s="66">
        <v>1.5200708E-2</v>
      </c>
      <c r="I57" s="163">
        <f t="shared" si="3"/>
        <v>2.7524999999999997E-2</v>
      </c>
      <c r="J57" s="66">
        <f t="shared" si="4"/>
        <v>0.52971104111709588</v>
      </c>
      <c r="K57" s="164">
        <f t="shared" si="5"/>
        <v>4.9833747566055728E-2</v>
      </c>
      <c r="L57" s="163">
        <f t="shared" si="0"/>
        <v>9.6378100906422848E-2</v>
      </c>
    </row>
    <row r="58" spans="1:12">
      <c r="A58" s="160" t="s">
        <v>195</v>
      </c>
      <c r="B58" s="161">
        <v>242</v>
      </c>
      <c r="C58" s="162">
        <v>1.0429687110000001</v>
      </c>
      <c r="D58" s="163">
        <f t="shared" si="1"/>
        <v>7.3434372972000006E-2</v>
      </c>
      <c r="E58" s="163">
        <v>0.88302961388669676</v>
      </c>
      <c r="F58" s="163">
        <v>0.53085684200000005</v>
      </c>
      <c r="G58" s="66">
        <f t="shared" si="2"/>
        <v>3.6699999999999997E-2</v>
      </c>
      <c r="H58" s="66">
        <v>3.5179033999999998E-2</v>
      </c>
      <c r="I58" s="163">
        <f t="shared" si="3"/>
        <v>2.7524999999999997E-2</v>
      </c>
      <c r="J58" s="66">
        <f t="shared" si="4"/>
        <v>0.11697038611330324</v>
      </c>
      <c r="K58" s="164">
        <f t="shared" si="5"/>
        <v>6.8064335889245528E-2</v>
      </c>
      <c r="L58" s="163">
        <f t="shared" si="0"/>
        <v>0.11541694191389174</v>
      </c>
    </row>
    <row r="59" spans="1:12">
      <c r="A59" s="160" t="s">
        <v>196</v>
      </c>
      <c r="B59" s="161">
        <v>128</v>
      </c>
      <c r="C59" s="162">
        <v>1.170318746</v>
      </c>
      <c r="D59" s="163">
        <f t="shared" si="1"/>
        <v>8.0056574791999999E-2</v>
      </c>
      <c r="E59" s="163">
        <v>0.71476422566173992</v>
      </c>
      <c r="F59" s="163">
        <v>0.49954532800000001</v>
      </c>
      <c r="G59" s="66">
        <f t="shared" si="2"/>
        <v>3.6699999999999997E-2</v>
      </c>
      <c r="H59" s="66">
        <v>8.2630010000000004E-2</v>
      </c>
      <c r="I59" s="163">
        <f t="shared" si="3"/>
        <v>2.7524999999999997E-2</v>
      </c>
      <c r="J59" s="66">
        <f t="shared" si="4"/>
        <v>0.28523577433826008</v>
      </c>
      <c r="K59" s="164">
        <f t="shared" si="5"/>
        <v>6.5072690378995657E-2</v>
      </c>
      <c r="L59" s="163">
        <f t="shared" si="0"/>
        <v>0.11229266187363085</v>
      </c>
    </row>
    <row r="60" spans="1:12">
      <c r="A60" s="160" t="s">
        <v>197</v>
      </c>
      <c r="B60" s="161">
        <v>129</v>
      </c>
      <c r="C60" s="162">
        <v>1.2449195799999999</v>
      </c>
      <c r="D60" s="163">
        <f t="shared" si="1"/>
        <v>8.3935818159999981E-2</v>
      </c>
      <c r="E60" s="163">
        <v>0.87209190619089361</v>
      </c>
      <c r="F60" s="163">
        <v>0.53864013700000002</v>
      </c>
      <c r="G60" s="66">
        <f t="shared" si="2"/>
        <v>3.6699999999999997E-2</v>
      </c>
      <c r="H60" s="66">
        <v>3.8353670999999999E-2</v>
      </c>
      <c r="I60" s="163">
        <f t="shared" si="3"/>
        <v>2.7524999999999997E-2</v>
      </c>
      <c r="J60" s="66">
        <f t="shared" si="4"/>
        <v>0.12790809380910639</v>
      </c>
      <c r="K60" s="164">
        <f t="shared" si="5"/>
        <v>7.6720417938942256E-2</v>
      </c>
      <c r="L60" s="163">
        <f t="shared" si="0"/>
        <v>0.12445679114805808</v>
      </c>
    </row>
    <row r="61" spans="1:12">
      <c r="A61" s="160" t="s">
        <v>198</v>
      </c>
      <c r="B61" s="161">
        <v>32</v>
      </c>
      <c r="C61" s="162">
        <v>0.82768248799999999</v>
      </c>
      <c r="D61" s="163">
        <f t="shared" si="1"/>
        <v>6.223948937599999E-2</v>
      </c>
      <c r="E61" s="163">
        <v>0.69346769915575623</v>
      </c>
      <c r="F61" s="163">
        <v>0.36550677300000001</v>
      </c>
      <c r="G61" s="66">
        <f t="shared" si="2"/>
        <v>3.27E-2</v>
      </c>
      <c r="H61" s="66">
        <v>0.170167344</v>
      </c>
      <c r="I61" s="163">
        <f t="shared" si="3"/>
        <v>2.4524999999999998E-2</v>
      </c>
      <c r="J61" s="66">
        <f t="shared" si="4"/>
        <v>0.30653230084424377</v>
      </c>
      <c r="K61" s="164">
        <f t="shared" si="5"/>
        <v>5.067878017240892E-2</v>
      </c>
      <c r="L61" s="163">
        <f t="shared" si="0"/>
        <v>9.7260598012564925E-2</v>
      </c>
    </row>
    <row r="62" spans="1:12">
      <c r="A62" s="160" t="s">
        <v>199</v>
      </c>
      <c r="B62" s="161">
        <v>36</v>
      </c>
      <c r="C62" s="162">
        <v>1.2217365659999999</v>
      </c>
      <c r="D62" s="163">
        <f t="shared" si="1"/>
        <v>8.2730301431999984E-2</v>
      </c>
      <c r="E62" s="163">
        <v>0.43444092971134185</v>
      </c>
      <c r="F62" s="163">
        <v>0.426320967</v>
      </c>
      <c r="G62" s="66">
        <f t="shared" si="2"/>
        <v>3.6699999999999997E-2</v>
      </c>
      <c r="H62" s="66">
        <v>7.4975072000000004E-2</v>
      </c>
      <c r="I62" s="163">
        <f t="shared" si="3"/>
        <v>2.7524999999999997E-2</v>
      </c>
      <c r="J62" s="66">
        <f t="shared" si="4"/>
        <v>0.56555907028865815</v>
      </c>
      <c r="K62" s="164">
        <f t="shared" si="5"/>
        <v>5.1508442479112945E-2</v>
      </c>
      <c r="L62" s="163">
        <f t="shared" si="0"/>
        <v>9.8127043377201906E-2</v>
      </c>
    </row>
    <row r="63" spans="1:12">
      <c r="A63" s="160" t="s">
        <v>200</v>
      </c>
      <c r="B63" s="161">
        <v>65</v>
      </c>
      <c r="C63" s="162">
        <v>1.2616103949999999</v>
      </c>
      <c r="D63" s="163">
        <f t="shared" si="1"/>
        <v>8.4803740539999992E-2</v>
      </c>
      <c r="E63" s="163">
        <v>0.6393450155540219</v>
      </c>
      <c r="F63" s="163">
        <v>0.34103357200000001</v>
      </c>
      <c r="G63" s="66">
        <f t="shared" si="2"/>
        <v>3.27E-2</v>
      </c>
      <c r="H63" s="66">
        <v>0.12518879699999999</v>
      </c>
      <c r="I63" s="163">
        <f t="shared" si="3"/>
        <v>2.4524999999999998E-2</v>
      </c>
      <c r="J63" s="66">
        <f t="shared" si="4"/>
        <v>0.3606549844459781</v>
      </c>
      <c r="K63" s="164">
        <f t="shared" si="5"/>
        <v>6.3063912308123138E-2</v>
      </c>
      <c r="L63" s="163">
        <f t="shared" si="0"/>
        <v>0.11019482467646369</v>
      </c>
    </row>
    <row r="64" spans="1:12">
      <c r="A64" s="160" t="s">
        <v>201</v>
      </c>
      <c r="B64" s="161">
        <v>127</v>
      </c>
      <c r="C64" s="162">
        <v>1.0300080739999999</v>
      </c>
      <c r="D64" s="163">
        <f t="shared" si="1"/>
        <v>7.2760419847999996E-2</v>
      </c>
      <c r="E64" s="163">
        <v>0.85344113479149852</v>
      </c>
      <c r="F64" s="163">
        <v>0.509069047</v>
      </c>
      <c r="G64" s="66">
        <f t="shared" si="2"/>
        <v>3.6699999999999997E-2</v>
      </c>
      <c r="H64" s="66">
        <v>5.9312673000000003E-2</v>
      </c>
      <c r="I64" s="163">
        <f t="shared" si="3"/>
        <v>2.7524999999999997E-2</v>
      </c>
      <c r="J64" s="66">
        <f t="shared" si="4"/>
        <v>0.14655886520850148</v>
      </c>
      <c r="K64" s="164">
        <f t="shared" si="5"/>
        <v>6.6130768047846997E-2</v>
      </c>
      <c r="L64" s="163">
        <f t="shared" si="0"/>
        <v>0.11339764938986963</v>
      </c>
    </row>
    <row r="65" spans="1:12">
      <c r="A65" s="160" t="s">
        <v>202</v>
      </c>
      <c r="B65" s="161">
        <v>69</v>
      </c>
      <c r="C65" s="162">
        <v>1.093128707</v>
      </c>
      <c r="D65" s="163">
        <f t="shared" si="1"/>
        <v>7.6042692763999997E-2</v>
      </c>
      <c r="E65" s="163">
        <v>0.89376187903744508</v>
      </c>
      <c r="F65" s="163">
        <v>0.37797649100000003</v>
      </c>
      <c r="G65" s="66">
        <f t="shared" si="2"/>
        <v>3.27E-2</v>
      </c>
      <c r="H65" s="66">
        <v>8.3368273000000007E-2</v>
      </c>
      <c r="I65" s="163">
        <f t="shared" si="3"/>
        <v>2.4524999999999998E-2</v>
      </c>
      <c r="J65" s="66">
        <f t="shared" si="4"/>
        <v>0.10623812096255492</v>
      </c>
      <c r="K65" s="164">
        <f t="shared" si="5"/>
        <v>7.0569549888426425E-2</v>
      </c>
      <c r="L65" s="163">
        <f t="shared" si="0"/>
        <v>0.11803322451402187</v>
      </c>
    </row>
    <row r="66" spans="1:12">
      <c r="A66" s="160" t="s">
        <v>203</v>
      </c>
      <c r="B66" s="161">
        <v>19</v>
      </c>
      <c r="C66" s="162">
        <v>0.74262552999999998</v>
      </c>
      <c r="D66" s="163">
        <f t="shared" si="1"/>
        <v>5.7816527559999997E-2</v>
      </c>
      <c r="E66" s="163">
        <v>0.7071440241585667</v>
      </c>
      <c r="F66" s="163">
        <v>0.31001992499999997</v>
      </c>
      <c r="G66" s="66">
        <f t="shared" si="2"/>
        <v>3.27E-2</v>
      </c>
      <c r="H66" s="66">
        <v>0.16098088899999999</v>
      </c>
      <c r="I66" s="163">
        <f t="shared" si="3"/>
        <v>2.4524999999999998E-2</v>
      </c>
      <c r="J66" s="66">
        <f t="shared" si="4"/>
        <v>0.2928559758414333</v>
      </c>
      <c r="K66" s="164">
        <f t="shared" si="5"/>
        <v>4.8066904769164226E-2</v>
      </c>
      <c r="L66" s="163">
        <f t="shared" si="0"/>
        <v>9.4532925177649441E-2</v>
      </c>
    </row>
    <row r="67" spans="1:12">
      <c r="A67" s="160" t="s">
        <v>204</v>
      </c>
      <c r="B67" s="161">
        <v>24</v>
      </c>
      <c r="C67" s="162">
        <v>1.0761501120000001</v>
      </c>
      <c r="D67" s="163">
        <f t="shared" si="1"/>
        <v>7.5159805824000003E-2</v>
      </c>
      <c r="E67" s="163">
        <v>0.50633023433591795</v>
      </c>
      <c r="F67" s="163">
        <v>0.25128205300000001</v>
      </c>
      <c r="G67" s="66">
        <f t="shared" si="2"/>
        <v>3.27E-2</v>
      </c>
      <c r="H67" s="66">
        <v>0.147770448</v>
      </c>
      <c r="I67" s="163">
        <f t="shared" si="3"/>
        <v>2.4524999999999998E-2</v>
      </c>
      <c r="J67" s="66">
        <f t="shared" si="4"/>
        <v>0.49366976566408205</v>
      </c>
      <c r="K67" s="164">
        <f t="shared" si="5"/>
        <v>5.0162933098419626E-2</v>
      </c>
      <c r="L67" s="163">
        <f t="shared" si="0"/>
        <v>9.6721880871255994E-2</v>
      </c>
    </row>
    <row r="68" spans="1:12">
      <c r="A68" s="160" t="s">
        <v>205</v>
      </c>
      <c r="B68" s="161">
        <v>51</v>
      </c>
      <c r="C68" s="162">
        <v>0.67828556100000004</v>
      </c>
      <c r="D68" s="163">
        <f t="shared" si="1"/>
        <v>5.4470849171999999E-2</v>
      </c>
      <c r="E68" s="163">
        <v>0.79139501859311978</v>
      </c>
      <c r="F68" s="163">
        <v>0.217098126</v>
      </c>
      <c r="G68" s="66">
        <f t="shared" si="2"/>
        <v>2.7199999999999998E-2</v>
      </c>
      <c r="H68" s="66">
        <v>0.14033321100000001</v>
      </c>
      <c r="I68" s="163">
        <f t="shared" si="3"/>
        <v>2.0399999999999998E-2</v>
      </c>
      <c r="J68" s="66">
        <f t="shared" si="4"/>
        <v>0.20860498140688022</v>
      </c>
      <c r="K68" s="164">
        <f t="shared" si="5"/>
        <v>4.7363500313958314E-2</v>
      </c>
      <c r="L68" s="163">
        <f t="shared" si="0"/>
        <v>9.3798335303247216E-2</v>
      </c>
    </row>
    <row r="69" spans="1:12">
      <c r="A69" s="160" t="s">
        <v>206</v>
      </c>
      <c r="B69" s="161">
        <v>192</v>
      </c>
      <c r="C69" s="162">
        <v>1.027293808</v>
      </c>
      <c r="D69" s="163">
        <f t="shared" si="1"/>
        <v>7.2619278016000002E-2</v>
      </c>
      <c r="E69" s="163">
        <v>0.64764661470067308</v>
      </c>
      <c r="F69" s="163">
        <v>0.27875895899999997</v>
      </c>
      <c r="G69" s="66">
        <f t="shared" si="2"/>
        <v>3.27E-2</v>
      </c>
      <c r="H69" s="66">
        <v>7.4740315000000002E-2</v>
      </c>
      <c r="I69" s="163">
        <f t="shared" si="3"/>
        <v>2.4524999999999998E-2</v>
      </c>
      <c r="J69" s="66">
        <f t="shared" si="4"/>
        <v>0.35235338529932692</v>
      </c>
      <c r="K69" s="164">
        <f t="shared" si="5"/>
        <v>5.5673096343535407E-2</v>
      </c>
      <c r="L69" s="163">
        <f t="shared" si="0"/>
        <v>0.10247633706812587</v>
      </c>
    </row>
    <row r="70" spans="1:12">
      <c r="A70" s="160" t="s">
        <v>207</v>
      </c>
      <c r="B70" s="161">
        <v>120</v>
      </c>
      <c r="C70" s="162">
        <v>1.247017093</v>
      </c>
      <c r="D70" s="163">
        <f t="shared" si="1"/>
        <v>8.404488883599999E-2</v>
      </c>
      <c r="E70" s="163">
        <v>0.80736738860815405</v>
      </c>
      <c r="F70" s="163">
        <v>0.35391696499999997</v>
      </c>
      <c r="G70" s="66">
        <f t="shared" si="2"/>
        <v>3.27E-2</v>
      </c>
      <c r="H70" s="66">
        <v>0.123234383</v>
      </c>
      <c r="I70" s="163">
        <f t="shared" si="3"/>
        <v>2.4524999999999998E-2</v>
      </c>
      <c r="J70" s="66">
        <f t="shared" si="4"/>
        <v>0.19263261139184595</v>
      </c>
      <c r="K70" s="164">
        <f t="shared" si="5"/>
        <v>7.2579417219768932E-2</v>
      </c>
      <c r="L70" s="163">
        <f t="shared" si="0"/>
        <v>0.12013219926399521</v>
      </c>
    </row>
    <row r="71" spans="1:12">
      <c r="A71" s="160" t="s">
        <v>208</v>
      </c>
      <c r="B71" s="161">
        <v>92</v>
      </c>
      <c r="C71" s="162">
        <v>1.310283238</v>
      </c>
      <c r="D71" s="163">
        <f t="shared" si="1"/>
        <v>8.7334728375999995E-2</v>
      </c>
      <c r="E71" s="163">
        <v>0.72353847132610327</v>
      </c>
      <c r="F71" s="163">
        <v>0.732549534</v>
      </c>
      <c r="G71" s="66">
        <f t="shared" si="2"/>
        <v>4.4200000000000003E-2</v>
      </c>
      <c r="H71" s="66">
        <v>1.9590181000000002E-2</v>
      </c>
      <c r="I71" s="163">
        <f t="shared" si="3"/>
        <v>3.3149999999999999E-2</v>
      </c>
      <c r="J71" s="66">
        <f t="shared" si="4"/>
        <v>0.27646152867389673</v>
      </c>
      <c r="K71" s="164">
        <f t="shared" si="5"/>
        <v>7.2354735538391168E-2</v>
      </c>
      <c r="L71" s="163">
        <f t="shared" si="0"/>
        <v>0.11989755632580756</v>
      </c>
    </row>
    <row r="72" spans="1:12">
      <c r="A72" s="160" t="s">
        <v>209</v>
      </c>
      <c r="B72" s="161">
        <v>22</v>
      </c>
      <c r="C72" s="162">
        <v>1.6452790129999999</v>
      </c>
      <c r="D72" s="163">
        <f t="shared" si="1"/>
        <v>0.10475450867599999</v>
      </c>
      <c r="E72" s="163">
        <v>0.64565673730204298</v>
      </c>
      <c r="F72" s="163">
        <v>0.31279621499999999</v>
      </c>
      <c r="G72" s="66">
        <f t="shared" si="2"/>
        <v>3.27E-2</v>
      </c>
      <c r="H72" s="66">
        <v>0.152902867</v>
      </c>
      <c r="I72" s="163">
        <f t="shared" si="3"/>
        <v>2.4524999999999998E-2</v>
      </c>
      <c r="J72" s="66">
        <f t="shared" si="4"/>
        <v>0.35434326269795702</v>
      </c>
      <c r="K72" s="164">
        <f t="shared" si="5"/>
        <v>7.63257228070921E-2</v>
      </c>
      <c r="L72" s="163">
        <f t="shared" si="0"/>
        <v>0.1240445972172588</v>
      </c>
    </row>
    <row r="73" spans="1:12">
      <c r="A73" s="160" t="s">
        <v>210</v>
      </c>
      <c r="B73" s="161">
        <v>4</v>
      </c>
      <c r="C73" s="162">
        <v>1.3006455690000001</v>
      </c>
      <c r="D73" s="163">
        <f t="shared" si="1"/>
        <v>8.6833569587999995E-2</v>
      </c>
      <c r="E73" s="163">
        <v>0.78852422980121151</v>
      </c>
      <c r="F73" s="163">
        <v>0.28622403400000002</v>
      </c>
      <c r="G73" s="66">
        <f t="shared" si="2"/>
        <v>3.27E-2</v>
      </c>
      <c r="H73" s="66">
        <v>0.24542439499999999</v>
      </c>
      <c r="I73" s="163">
        <f t="shared" si="3"/>
        <v>2.4524999999999998E-2</v>
      </c>
      <c r="J73" s="66">
        <f t="shared" si="4"/>
        <v>0.21147577019878849</v>
      </c>
      <c r="K73" s="164">
        <f t="shared" si="5"/>
        <v>7.3656816844392889E-2</v>
      </c>
      <c r="L73" s="163">
        <f t="shared" si="0"/>
        <v>0.12125736537443998</v>
      </c>
    </row>
    <row r="74" spans="1:12">
      <c r="A74" s="160" t="s">
        <v>211</v>
      </c>
      <c r="B74" s="161">
        <v>269</v>
      </c>
      <c r="C74" s="162">
        <v>1.478219605</v>
      </c>
      <c r="D74" s="163">
        <f t="shared" si="1"/>
        <v>9.6067419459999998E-2</v>
      </c>
      <c r="E74" s="163">
        <v>0.6394322152663332</v>
      </c>
      <c r="F74" s="163">
        <v>0.59365118699999997</v>
      </c>
      <c r="G74" s="66">
        <f t="shared" si="2"/>
        <v>3.6699999999999997E-2</v>
      </c>
      <c r="H74" s="66">
        <v>3.7046849999999999E-2</v>
      </c>
      <c r="I74" s="163">
        <f t="shared" si="3"/>
        <v>2.7524999999999997E-2</v>
      </c>
      <c r="J74" s="66">
        <f t="shared" si="4"/>
        <v>0.3605677847336668</v>
      </c>
      <c r="K74" s="164">
        <f t="shared" si="5"/>
        <v>7.1353231115022023E-2</v>
      </c>
      <c r="L74" s="163">
        <f t="shared" si="0"/>
        <v>0.11885165022849598</v>
      </c>
    </row>
    <row r="75" spans="1:12">
      <c r="A75" s="160" t="s">
        <v>212</v>
      </c>
      <c r="B75" s="161">
        <v>24</v>
      </c>
      <c r="C75" s="162">
        <v>1.016075276</v>
      </c>
      <c r="D75" s="163">
        <f t="shared" si="1"/>
        <v>7.2035914351999991E-2</v>
      </c>
      <c r="E75" s="163">
        <v>0.52717449972007868</v>
      </c>
      <c r="F75" s="163">
        <v>0.32657694300000001</v>
      </c>
      <c r="G75" s="66">
        <f t="shared" si="2"/>
        <v>3.27E-2</v>
      </c>
      <c r="H75" s="66">
        <v>5.4572902999999999E-2</v>
      </c>
      <c r="I75" s="163">
        <f t="shared" si="3"/>
        <v>2.4524999999999998E-2</v>
      </c>
      <c r="J75" s="66">
        <f t="shared" si="4"/>
        <v>0.47282550027992132</v>
      </c>
      <c r="K75" s="164">
        <f t="shared" si="5"/>
        <v>4.9571542504759099E-2</v>
      </c>
      <c r="L75" s="163">
        <f t="shared" si="0"/>
        <v>9.6104270990191809E-2</v>
      </c>
    </row>
    <row r="76" spans="1:12">
      <c r="A76" s="160" t="s">
        <v>213</v>
      </c>
      <c r="B76" s="161">
        <v>136</v>
      </c>
      <c r="C76" s="162">
        <v>1.57914625</v>
      </c>
      <c r="D76" s="163">
        <f t="shared" si="1"/>
        <v>0.10131560499999999</v>
      </c>
      <c r="E76" s="163">
        <v>0.67271162928733985</v>
      </c>
      <c r="F76" s="163">
        <v>0.53496989100000003</v>
      </c>
      <c r="G76" s="66">
        <f t="shared" si="2"/>
        <v>3.6699999999999997E-2</v>
      </c>
      <c r="H76" s="66">
        <v>5.0552119E-2</v>
      </c>
      <c r="I76" s="163">
        <f t="shared" si="3"/>
        <v>2.7524999999999997E-2</v>
      </c>
      <c r="J76" s="66">
        <f t="shared" si="4"/>
        <v>0.32728837071266015</v>
      </c>
      <c r="K76" s="164">
        <f t="shared" si="5"/>
        <v>7.7164798115648511E-2</v>
      </c>
      <c r="L76" s="163">
        <f t="shared" si="0"/>
        <v>0.12492087290895304</v>
      </c>
    </row>
    <row r="77" spans="1:12">
      <c r="A77" s="160" t="s">
        <v>214</v>
      </c>
      <c r="B77" s="161">
        <v>24</v>
      </c>
      <c r="C77" s="162">
        <v>0.99035691400000003</v>
      </c>
      <c r="D77" s="163">
        <f t="shared" si="1"/>
        <v>7.0698559527999999E-2</v>
      </c>
      <c r="E77" s="163">
        <v>0.60263408413909059</v>
      </c>
      <c r="F77" s="163">
        <v>0.331374104</v>
      </c>
      <c r="G77" s="66">
        <f t="shared" si="2"/>
        <v>3.27E-2</v>
      </c>
      <c r="H77" s="66">
        <v>0.121782498</v>
      </c>
      <c r="I77" s="163">
        <f t="shared" si="3"/>
        <v>2.4524999999999998E-2</v>
      </c>
      <c r="J77" s="66">
        <f t="shared" si="4"/>
        <v>0.39736591586090941</v>
      </c>
      <c r="K77" s="164">
        <f t="shared" si="5"/>
        <v>5.2350760757598057E-2</v>
      </c>
      <c r="L77" s="163">
        <f t="shared" si="0"/>
        <v>9.9006705815816831E-2</v>
      </c>
    </row>
    <row r="78" spans="1:12">
      <c r="A78" s="160" t="s">
        <v>215</v>
      </c>
      <c r="B78" s="161">
        <v>15</v>
      </c>
      <c r="C78" s="162">
        <v>1.5366649800000001</v>
      </c>
      <c r="D78" s="163">
        <f t="shared" si="1"/>
        <v>9.9106578959999997E-2</v>
      </c>
      <c r="E78" s="163">
        <v>0.71712364987108201</v>
      </c>
      <c r="F78" s="163">
        <v>0.373667154</v>
      </c>
      <c r="G78" s="66">
        <f t="shared" si="2"/>
        <v>3.27E-2</v>
      </c>
      <c r="H78" s="66">
        <v>0.104055131</v>
      </c>
      <c r="I78" s="163">
        <f t="shared" si="3"/>
        <v>2.4524999999999998E-2</v>
      </c>
      <c r="J78" s="66">
        <f t="shared" si="4"/>
        <v>0.28287635012891799</v>
      </c>
      <c r="K78" s="164">
        <f t="shared" si="5"/>
        <v>7.800921411694349E-2</v>
      </c>
      <c r="L78" s="163">
        <f t="shared" si="0"/>
        <v>0.12580272607286713</v>
      </c>
    </row>
    <row r="79" spans="1:12">
      <c r="A79" s="160" t="s">
        <v>216</v>
      </c>
      <c r="B79" s="161">
        <v>52</v>
      </c>
      <c r="C79" s="162">
        <v>0.57582877700000001</v>
      </c>
      <c r="D79" s="163">
        <f t="shared" si="1"/>
        <v>4.9143096403999997E-2</v>
      </c>
      <c r="E79" s="163">
        <v>0.57966596168409512</v>
      </c>
      <c r="F79" s="163">
        <v>0.18487223699999999</v>
      </c>
      <c r="G79" s="66">
        <f t="shared" si="2"/>
        <v>2.7199999999999998E-2</v>
      </c>
      <c r="H79" s="66">
        <v>0.132674867</v>
      </c>
      <c r="I79" s="163">
        <f t="shared" si="3"/>
        <v>2.0399999999999998E-2</v>
      </c>
      <c r="J79" s="66">
        <f t="shared" si="4"/>
        <v>0.42033403831590488</v>
      </c>
      <c r="K79" s="164">
        <f t="shared" si="5"/>
        <v>3.7061394618803312E-2</v>
      </c>
      <c r="L79" s="163">
        <f t="shared" si="0"/>
        <v>8.3039486005844099E-2</v>
      </c>
    </row>
    <row r="80" spans="1:12">
      <c r="A80" s="160" t="s">
        <v>217</v>
      </c>
      <c r="B80" s="161">
        <v>83</v>
      </c>
      <c r="C80" s="162">
        <v>1.4350731219999999</v>
      </c>
      <c r="D80" s="163">
        <f t="shared" si="1"/>
        <v>9.3823802343999993E-2</v>
      </c>
      <c r="E80" s="163">
        <v>0.84480471094713161</v>
      </c>
      <c r="F80" s="163">
        <v>0.82642641900000002</v>
      </c>
      <c r="G80" s="66">
        <f t="shared" si="2"/>
        <v>6.9199999999999998E-2</v>
      </c>
      <c r="H80" s="66">
        <v>1.7488117000000001E-2</v>
      </c>
      <c r="I80" s="163">
        <f t="shared" si="3"/>
        <v>5.1900000000000002E-2</v>
      </c>
      <c r="J80" s="66">
        <f t="shared" si="4"/>
        <v>0.15519528905286839</v>
      </c>
      <c r="K80" s="164">
        <f t="shared" si="5"/>
        <v>8.7317425721027603E-2</v>
      </c>
      <c r="L80" s="163">
        <f t="shared" si="0"/>
        <v>0.13552361700915205</v>
      </c>
    </row>
    <row r="81" spans="1:12">
      <c r="A81" s="160" t="s">
        <v>218</v>
      </c>
      <c r="B81" s="161">
        <v>31</v>
      </c>
      <c r="C81" s="162">
        <v>1.0675088150000001</v>
      </c>
      <c r="D81" s="163">
        <f t="shared" si="1"/>
        <v>7.4710458379999997E-2</v>
      </c>
      <c r="E81" s="163">
        <v>0.59677257499888015</v>
      </c>
      <c r="F81" s="163">
        <v>0.38178201</v>
      </c>
      <c r="G81" s="66">
        <f t="shared" si="2"/>
        <v>3.27E-2</v>
      </c>
      <c r="H81" s="66">
        <v>8.0958314000000003E-2</v>
      </c>
      <c r="I81" s="163">
        <f t="shared" si="3"/>
        <v>2.4524999999999998E-2</v>
      </c>
      <c r="J81" s="66">
        <f t="shared" si="4"/>
        <v>0.40322742500111985</v>
      </c>
      <c r="K81" s="164">
        <f t="shared" si="5"/>
        <v>5.4474305224931727E-2</v>
      </c>
      <c r="L81" s="163">
        <f t="shared" si="0"/>
        <v>0.1012243975748055</v>
      </c>
    </row>
    <row r="82" spans="1:12">
      <c r="A82" s="160" t="s">
        <v>219</v>
      </c>
      <c r="B82" s="161">
        <v>234</v>
      </c>
      <c r="C82" s="162">
        <v>0.68383933200000002</v>
      </c>
      <c r="D82" s="163">
        <f t="shared" si="1"/>
        <v>5.4759645263999998E-2</v>
      </c>
      <c r="E82" s="163">
        <v>0.5423703251708305</v>
      </c>
      <c r="F82" s="163">
        <v>0.19856503</v>
      </c>
      <c r="G82" s="66">
        <f t="shared" si="2"/>
        <v>2.7199999999999998E-2</v>
      </c>
      <c r="H82" s="66">
        <v>1.9179893E-2</v>
      </c>
      <c r="I82" s="163">
        <f t="shared" si="3"/>
        <v>2.0399999999999998E-2</v>
      </c>
      <c r="J82" s="66">
        <f t="shared" si="4"/>
        <v>0.4576296748291695</v>
      </c>
      <c r="K82" s="164">
        <f t="shared" si="5"/>
        <v>3.9035651974590066E-2</v>
      </c>
      <c r="L82" s="163">
        <f t="shared" si="0"/>
        <v>8.510127201287232E-2</v>
      </c>
    </row>
    <row r="83" spans="1:12">
      <c r="A83" s="160" t="s">
        <v>220</v>
      </c>
      <c r="B83" s="161">
        <v>20</v>
      </c>
      <c r="C83" s="162">
        <v>1.2361501370000001</v>
      </c>
      <c r="D83" s="163">
        <f t="shared" si="1"/>
        <v>8.3479807123999994E-2</v>
      </c>
      <c r="E83" s="163">
        <v>0.58815315653169553</v>
      </c>
      <c r="F83" s="163">
        <v>0.47223567599999999</v>
      </c>
      <c r="G83" s="66">
        <f t="shared" si="2"/>
        <v>3.6699999999999997E-2</v>
      </c>
      <c r="H83" s="66">
        <v>2.1859481E-2</v>
      </c>
      <c r="I83" s="163">
        <f t="shared" si="3"/>
        <v>2.7524999999999997E-2</v>
      </c>
      <c r="J83" s="66">
        <f t="shared" si="4"/>
        <v>0.41184684346830447</v>
      </c>
      <c r="K83" s="164">
        <f t="shared" si="5"/>
        <v>6.0434996433102794E-2</v>
      </c>
      <c r="L83" s="163">
        <f t="shared" si="0"/>
        <v>0.10744935588087579</v>
      </c>
    </row>
    <row r="84" spans="1:12">
      <c r="A84" s="160" t="s">
        <v>221</v>
      </c>
      <c r="B84" s="161">
        <v>12</v>
      </c>
      <c r="C84" s="162">
        <v>1.6326053380000001</v>
      </c>
      <c r="D84" s="163">
        <f t="shared" si="1"/>
        <v>0.10409547757599999</v>
      </c>
      <c r="E84" s="163">
        <v>0.68761385584844792</v>
      </c>
      <c r="F84" s="163">
        <v>0.21349831699999999</v>
      </c>
      <c r="G84" s="66">
        <f t="shared" si="2"/>
        <v>2.7199999999999998E-2</v>
      </c>
      <c r="H84" s="66">
        <v>6.5475746000000001E-2</v>
      </c>
      <c r="I84" s="163">
        <f t="shared" si="3"/>
        <v>2.0399999999999998E-2</v>
      </c>
      <c r="J84" s="66">
        <f t="shared" si="4"/>
        <v>0.31238614415155208</v>
      </c>
      <c r="K84" s="164">
        <f t="shared" si="5"/>
        <v>7.7950170053110668E-2</v>
      </c>
      <c r="L84" s="163">
        <f t="shared" ref="L84:L115" si="6">(1+K84)*((1+$C$16)/(1+$C$17))-1</f>
        <v>0.12574106429191856</v>
      </c>
    </row>
    <row r="85" spans="1:12">
      <c r="A85" s="160" t="s">
        <v>222</v>
      </c>
      <c r="B85" s="161">
        <v>57</v>
      </c>
      <c r="C85" s="162">
        <v>0.93261337399999999</v>
      </c>
      <c r="D85" s="163">
        <f t="shared" ref="D85:D115" si="7">$D$9+C85*$D$10</f>
        <v>6.769589544799999E-2</v>
      </c>
      <c r="E85" s="163">
        <v>0.6297132151973015</v>
      </c>
      <c r="F85" s="163">
        <v>0.39152207500000002</v>
      </c>
      <c r="G85" s="66">
        <f t="shared" ref="G85:G115" si="8">$D$9+VLOOKUP(F85,$G$10:$I$16,3)+$D$11</f>
        <v>3.27E-2</v>
      </c>
      <c r="H85" s="66">
        <v>5.5796461999999998E-2</v>
      </c>
      <c r="I85" s="163">
        <f t="shared" ref="I85:I115" si="9">IF($F$12="Yes",G85*(1-$F$13),G85*(1-H85))</f>
        <v>2.4524999999999998E-2</v>
      </c>
      <c r="J85" s="66">
        <f t="shared" ref="J85:J115" si="10">1-E85</f>
        <v>0.3702867848026985</v>
      </c>
      <c r="K85" s="164">
        <f t="shared" ref="K85:K115" si="11">D85*(1-J85)+I85*J85</f>
        <v>5.1710283375506622E-2</v>
      </c>
      <c r="L85" s="163">
        <f t="shared" si="6"/>
        <v>9.8337832884765497E-2</v>
      </c>
    </row>
    <row r="86" spans="1:12">
      <c r="A86" s="160" t="s">
        <v>223</v>
      </c>
      <c r="B86" s="161">
        <v>63</v>
      </c>
      <c r="C86" s="162">
        <v>0.90177487300000003</v>
      </c>
      <c r="D86" s="163">
        <f t="shared" si="7"/>
        <v>6.6092293395999993E-2</v>
      </c>
      <c r="E86" s="163">
        <v>0.74804525283889933</v>
      </c>
      <c r="F86" s="163">
        <v>0.475304332</v>
      </c>
      <c r="G86" s="66">
        <f t="shared" si="8"/>
        <v>3.6699999999999997E-2</v>
      </c>
      <c r="H86" s="66">
        <v>8.2140500000000005E-2</v>
      </c>
      <c r="I86" s="163">
        <f t="shared" si="9"/>
        <v>2.7524999999999997E-2</v>
      </c>
      <c r="J86" s="66">
        <f t="shared" si="10"/>
        <v>0.25195474716110067</v>
      </c>
      <c r="K86" s="164">
        <f t="shared" si="11"/>
        <v>5.6375080739722826E-2</v>
      </c>
      <c r="L86" s="163">
        <f t="shared" si="6"/>
        <v>0.1032094439252278</v>
      </c>
    </row>
    <row r="87" spans="1:12">
      <c r="A87" s="160" t="s">
        <v>224</v>
      </c>
      <c r="B87" s="161">
        <v>2</v>
      </c>
      <c r="C87" s="162">
        <v>0.81904634200000004</v>
      </c>
      <c r="D87" s="163">
        <f t="shared" si="7"/>
        <v>6.1790409783999994E-2</v>
      </c>
      <c r="E87" s="163">
        <v>0.77512290409824036</v>
      </c>
      <c r="F87" s="163">
        <v>0.14871563199999999</v>
      </c>
      <c r="G87" s="66">
        <f t="shared" si="8"/>
        <v>2.7199999999999998E-2</v>
      </c>
      <c r="H87" s="66">
        <v>0.17545712799999999</v>
      </c>
      <c r="I87" s="163">
        <f t="shared" si="9"/>
        <v>2.0399999999999998E-2</v>
      </c>
      <c r="J87" s="66">
        <f t="shared" si="10"/>
        <v>0.22487709590175964</v>
      </c>
      <c r="K87" s="164">
        <f t="shared" si="11"/>
        <v>5.2482654633590295E-2</v>
      </c>
      <c r="L87" s="163">
        <f t="shared" si="6"/>
        <v>9.9144447203552533E-2</v>
      </c>
    </row>
    <row r="88" spans="1:12">
      <c r="A88" s="160" t="s">
        <v>225</v>
      </c>
      <c r="B88" s="161">
        <v>77</v>
      </c>
      <c r="C88" s="162">
        <v>0.97298048000000004</v>
      </c>
      <c r="D88" s="163">
        <f t="shared" si="7"/>
        <v>6.9794984960000001E-2</v>
      </c>
      <c r="E88" s="163">
        <v>0.70594102981311779</v>
      </c>
      <c r="F88" s="163">
        <v>0.38756696200000001</v>
      </c>
      <c r="G88" s="66">
        <f t="shared" si="8"/>
        <v>3.27E-2</v>
      </c>
      <c r="H88" s="66">
        <v>6.5675939000000003E-2</v>
      </c>
      <c r="I88" s="163">
        <f t="shared" si="9"/>
        <v>2.4524999999999998E-2</v>
      </c>
      <c r="J88" s="66">
        <f t="shared" si="10"/>
        <v>0.29405897018688221</v>
      </c>
      <c r="K88" s="164">
        <f t="shared" si="11"/>
        <v>5.6482939802286754E-2</v>
      </c>
      <c r="L88" s="163">
        <f t="shared" si="6"/>
        <v>0.10332208491667405</v>
      </c>
    </row>
    <row r="89" spans="1:12">
      <c r="A89" s="160" t="s">
        <v>226</v>
      </c>
      <c r="B89" s="161">
        <v>26</v>
      </c>
      <c r="C89" s="162">
        <v>1.332582621</v>
      </c>
      <c r="D89" s="163">
        <f t="shared" si="7"/>
        <v>8.8494296291999994E-2</v>
      </c>
      <c r="E89" s="163">
        <v>0.57846432173381857</v>
      </c>
      <c r="F89" s="163">
        <v>0.373701271</v>
      </c>
      <c r="G89" s="66">
        <f t="shared" si="8"/>
        <v>3.27E-2</v>
      </c>
      <c r="H89" s="66">
        <v>0.14041372099999999</v>
      </c>
      <c r="I89" s="163">
        <f t="shared" si="9"/>
        <v>2.4524999999999998E-2</v>
      </c>
      <c r="J89" s="66">
        <f t="shared" si="10"/>
        <v>0.42153567826618143</v>
      </c>
      <c r="K89" s="164">
        <f t="shared" si="11"/>
        <v>6.1528955591341451E-2</v>
      </c>
      <c r="L89" s="163">
        <f t="shared" si="6"/>
        <v>0.10859181569145027</v>
      </c>
    </row>
    <row r="90" spans="1:12">
      <c r="A90" s="160" t="s">
        <v>227</v>
      </c>
      <c r="B90" s="161">
        <v>17</v>
      </c>
      <c r="C90" s="162">
        <v>1.358857744</v>
      </c>
      <c r="D90" s="163">
        <f t="shared" si="7"/>
        <v>8.9860602687999988E-2</v>
      </c>
      <c r="E90" s="163">
        <v>0.79545867491779321</v>
      </c>
      <c r="F90" s="163">
        <v>0.472945897</v>
      </c>
      <c r="G90" s="66">
        <f t="shared" si="8"/>
        <v>3.6699999999999997E-2</v>
      </c>
      <c r="H90" s="66">
        <v>0.1489983</v>
      </c>
      <c r="I90" s="163">
        <f t="shared" si="9"/>
        <v>2.7524999999999997E-2</v>
      </c>
      <c r="J90" s="66">
        <f t="shared" si="10"/>
        <v>0.20454132508220679</v>
      </c>
      <c r="K90" s="164">
        <f t="shared" si="11"/>
        <v>7.71103959143985E-2</v>
      </c>
      <c r="L90" s="163">
        <f t="shared" si="6"/>
        <v>0.12486405878745055</v>
      </c>
    </row>
    <row r="91" spans="1:12">
      <c r="A91" s="160" t="s">
        <v>228</v>
      </c>
      <c r="B91" s="161">
        <v>80</v>
      </c>
      <c r="C91" s="162">
        <v>1.278978137</v>
      </c>
      <c r="D91" s="163">
        <f t="shared" si="7"/>
        <v>8.5706863123999985E-2</v>
      </c>
      <c r="E91" s="163">
        <v>0.62165857768635258</v>
      </c>
      <c r="F91" s="163">
        <v>0.42830792600000001</v>
      </c>
      <c r="G91" s="66">
        <f t="shared" si="8"/>
        <v>3.6699999999999997E-2</v>
      </c>
      <c r="H91" s="66">
        <v>0.119608046</v>
      </c>
      <c r="I91" s="163">
        <f t="shared" si="9"/>
        <v>2.7524999999999997E-2</v>
      </c>
      <c r="J91" s="66">
        <f t="shared" si="10"/>
        <v>0.37834142231364742</v>
      </c>
      <c r="K91" s="164">
        <f t="shared" si="11"/>
        <v>6.3694254276807874E-2</v>
      </c>
      <c r="L91" s="163">
        <f t="shared" si="6"/>
        <v>0.11085311284080435</v>
      </c>
    </row>
    <row r="92" spans="1:12">
      <c r="A92" s="160" t="s">
        <v>229</v>
      </c>
      <c r="B92" s="161">
        <v>18</v>
      </c>
      <c r="C92" s="162">
        <v>1.1436996719999999</v>
      </c>
      <c r="D92" s="163">
        <f t="shared" si="7"/>
        <v>7.8672382943999988E-2</v>
      </c>
      <c r="E92" s="163">
        <v>0.75697937939096438</v>
      </c>
      <c r="F92" s="163">
        <v>0.40402199500000002</v>
      </c>
      <c r="G92" s="66">
        <f t="shared" si="8"/>
        <v>3.6699999999999997E-2</v>
      </c>
      <c r="H92" s="66">
        <v>0.15490094200000001</v>
      </c>
      <c r="I92" s="163">
        <f t="shared" si="9"/>
        <v>2.7524999999999997E-2</v>
      </c>
      <c r="J92" s="66">
        <f t="shared" si="10"/>
        <v>0.24302062060903562</v>
      </c>
      <c r="K92" s="164">
        <f t="shared" si="11"/>
        <v>6.6242514198421115E-2</v>
      </c>
      <c r="L92" s="163">
        <f t="shared" si="6"/>
        <v>0.11351434980327735</v>
      </c>
    </row>
    <row r="93" spans="1:12">
      <c r="A93" s="160" t="s">
        <v>230</v>
      </c>
      <c r="B93" s="161">
        <v>13</v>
      </c>
      <c r="C93" s="162">
        <v>0.587786853</v>
      </c>
      <c r="D93" s="163">
        <f t="shared" si="7"/>
        <v>4.9764916356E-2</v>
      </c>
      <c r="E93" s="163">
        <v>0.50849457803529874</v>
      </c>
      <c r="F93" s="163">
        <v>0.37181372200000001</v>
      </c>
      <c r="G93" s="66">
        <f t="shared" si="8"/>
        <v>3.27E-2</v>
      </c>
      <c r="H93" s="66">
        <v>0.12781880900000001</v>
      </c>
      <c r="I93" s="163">
        <f t="shared" si="9"/>
        <v>2.4524999999999998E-2</v>
      </c>
      <c r="J93" s="66">
        <f t="shared" si="10"/>
        <v>0.49150542196470126</v>
      </c>
      <c r="K93" s="164">
        <f t="shared" si="11"/>
        <v>3.7359360617090456E-2</v>
      </c>
      <c r="L93" s="163">
        <f t="shared" si="6"/>
        <v>8.3350662319326085E-2</v>
      </c>
    </row>
    <row r="94" spans="1:12">
      <c r="A94" s="160" t="s">
        <v>231</v>
      </c>
      <c r="B94" s="161">
        <v>70</v>
      </c>
      <c r="C94" s="162">
        <v>1.2301273779999999</v>
      </c>
      <c r="D94" s="163">
        <f t="shared" si="7"/>
        <v>8.3166623655999986E-2</v>
      </c>
      <c r="E94" s="163">
        <v>0.88599048433609939</v>
      </c>
      <c r="F94" s="163">
        <v>0.55967185100000005</v>
      </c>
      <c r="G94" s="66">
        <f t="shared" si="8"/>
        <v>3.6699999999999997E-2</v>
      </c>
      <c r="H94" s="66">
        <v>2.9189150000000001E-2</v>
      </c>
      <c r="I94" s="163">
        <f t="shared" si="9"/>
        <v>2.7524999999999997E-2</v>
      </c>
      <c r="J94" s="66">
        <f t="shared" si="10"/>
        <v>0.11400951566390061</v>
      </c>
      <c r="K94" s="164">
        <f t="shared" si="11"/>
        <v>7.6822949092226395E-2</v>
      </c>
      <c r="L94" s="163">
        <f t="shared" si="6"/>
        <v>0.12456386801749741</v>
      </c>
    </row>
    <row r="95" spans="1:12">
      <c r="A95" s="160" t="s">
        <v>232</v>
      </c>
      <c r="B95" s="161">
        <v>89</v>
      </c>
      <c r="C95" s="162">
        <v>1.0303212349999999</v>
      </c>
      <c r="D95" s="163">
        <f t="shared" si="7"/>
        <v>7.2776704219999988E-2</v>
      </c>
      <c r="E95" s="163">
        <v>0.58626884749196029</v>
      </c>
      <c r="F95" s="163">
        <v>0.44947682999999999</v>
      </c>
      <c r="G95" s="66">
        <f t="shared" si="8"/>
        <v>3.6699999999999997E-2</v>
      </c>
      <c r="H95" s="66">
        <v>0.118927488</v>
      </c>
      <c r="I95" s="163">
        <f t="shared" si="9"/>
        <v>2.7524999999999997E-2</v>
      </c>
      <c r="J95" s="66">
        <f t="shared" si="10"/>
        <v>0.41373115250803971</v>
      </c>
      <c r="K95" s="164">
        <f t="shared" si="11"/>
        <v>5.4054664480106471E-2</v>
      </c>
      <c r="L95" s="163">
        <f t="shared" si="6"/>
        <v>0.10078615206789454</v>
      </c>
    </row>
    <row r="96" spans="1:12">
      <c r="A96" s="160" t="s">
        <v>233</v>
      </c>
      <c r="B96" s="161">
        <v>4</v>
      </c>
      <c r="C96" s="162">
        <v>0.98298896800000002</v>
      </c>
      <c r="D96" s="163">
        <f t="shared" si="7"/>
        <v>7.0315426335999992E-2</v>
      </c>
      <c r="E96" s="163">
        <v>0.35967323254245676</v>
      </c>
      <c r="F96" s="163">
        <v>0.57589186400000003</v>
      </c>
      <c r="G96" s="66">
        <f t="shared" si="8"/>
        <v>3.6699999999999997E-2</v>
      </c>
      <c r="H96" s="66">
        <v>0.20746164</v>
      </c>
      <c r="I96" s="163">
        <f t="shared" si="9"/>
        <v>2.7524999999999997E-2</v>
      </c>
      <c r="J96" s="66">
        <f t="shared" si="10"/>
        <v>0.64032676745754324</v>
      </c>
      <c r="K96" s="164">
        <f t="shared" si="11"/>
        <v>4.2915570962138994E-2</v>
      </c>
      <c r="L96" s="163">
        <f t="shared" si="6"/>
        <v>8.9153207113169763E-2</v>
      </c>
    </row>
    <row r="97" spans="1:12">
      <c r="A97" s="160" t="s">
        <v>234</v>
      </c>
      <c r="B97" s="161">
        <v>72</v>
      </c>
      <c r="C97" s="162">
        <v>1.2865982869999999</v>
      </c>
      <c r="D97" s="163">
        <f t="shared" si="7"/>
        <v>8.6103110923999984E-2</v>
      </c>
      <c r="E97" s="163">
        <v>0.89445402392975604</v>
      </c>
      <c r="F97" s="163">
        <v>0.43694603399999998</v>
      </c>
      <c r="G97" s="66">
        <f t="shared" si="8"/>
        <v>3.6699999999999997E-2</v>
      </c>
      <c r="H97" s="66">
        <v>6.1504982999999999E-2</v>
      </c>
      <c r="I97" s="163">
        <f t="shared" si="9"/>
        <v>2.7524999999999997E-2</v>
      </c>
      <c r="J97" s="66">
        <f t="shared" si="10"/>
        <v>0.10554597607024396</v>
      </c>
      <c r="K97" s="164">
        <f t="shared" si="11"/>
        <v>7.9920427030175392E-2</v>
      </c>
      <c r="L97" s="163">
        <f t="shared" si="6"/>
        <v>0.12779867256353294</v>
      </c>
    </row>
    <row r="98" spans="1:12">
      <c r="A98" s="160" t="s">
        <v>235</v>
      </c>
      <c r="B98" s="161">
        <v>39</v>
      </c>
      <c r="C98" s="162">
        <v>1.278467646</v>
      </c>
      <c r="D98" s="163">
        <f t="shared" si="7"/>
        <v>8.5680317591999983E-2</v>
      </c>
      <c r="E98" s="163">
        <v>0.89147983156066279</v>
      </c>
      <c r="F98" s="163">
        <v>0.41063703099999999</v>
      </c>
      <c r="G98" s="66">
        <f t="shared" si="8"/>
        <v>3.6699999999999997E-2</v>
      </c>
      <c r="H98" s="66">
        <v>9.7113162000000003E-2</v>
      </c>
      <c r="I98" s="163">
        <f t="shared" si="9"/>
        <v>2.7524999999999997E-2</v>
      </c>
      <c r="J98" s="66">
        <f t="shared" si="10"/>
        <v>0.10852016843933721</v>
      </c>
      <c r="K98" s="164">
        <f t="shared" si="11"/>
        <v>7.9369292731272995E-2</v>
      </c>
      <c r="L98" s="163">
        <f t="shared" si="6"/>
        <v>0.12722310373906343</v>
      </c>
    </row>
    <row r="99" spans="1:12">
      <c r="A99" s="160" t="s">
        <v>236</v>
      </c>
      <c r="B99" s="161">
        <v>10</v>
      </c>
      <c r="C99" s="162">
        <v>2.1735484760000001</v>
      </c>
      <c r="D99" s="163">
        <f t="shared" si="7"/>
        <v>0.132224520752</v>
      </c>
      <c r="E99" s="163">
        <v>0.64220069624540743</v>
      </c>
      <c r="F99" s="163">
        <v>0.34054304200000002</v>
      </c>
      <c r="G99" s="66">
        <f t="shared" si="8"/>
        <v>3.27E-2</v>
      </c>
      <c r="H99" s="66">
        <v>4.8923979999999999E-2</v>
      </c>
      <c r="I99" s="163">
        <f t="shared" si="9"/>
        <v>2.4524999999999998E-2</v>
      </c>
      <c r="J99" s="66">
        <f t="shared" si="10"/>
        <v>0.35779930375459257</v>
      </c>
      <c r="K99" s="164">
        <f t="shared" si="11"/>
        <v>9.3689707212231105E-2</v>
      </c>
      <c r="L99" s="163">
        <f t="shared" si="6"/>
        <v>0.14217841344331528</v>
      </c>
    </row>
    <row r="100" spans="1:12">
      <c r="A100" s="160" t="s">
        <v>237</v>
      </c>
      <c r="B100" s="161">
        <v>11</v>
      </c>
      <c r="C100" s="162">
        <v>0.86816026400000001</v>
      </c>
      <c r="D100" s="163">
        <f t="shared" si="7"/>
        <v>6.4344333727999997E-2</v>
      </c>
      <c r="E100" s="163">
        <v>0.91910206614435097</v>
      </c>
      <c r="F100" s="163">
        <v>0.375639371</v>
      </c>
      <c r="G100" s="66">
        <f t="shared" si="8"/>
        <v>3.27E-2</v>
      </c>
      <c r="H100" s="66">
        <v>0.13978438100000001</v>
      </c>
      <c r="I100" s="163">
        <f t="shared" si="9"/>
        <v>2.4524999999999998E-2</v>
      </c>
      <c r="J100" s="66">
        <f t="shared" si="10"/>
        <v>8.0897933855649029E-2</v>
      </c>
      <c r="K100" s="164">
        <f t="shared" si="11"/>
        <v>6.112303190189624E-2</v>
      </c>
      <c r="L100" s="163">
        <f t="shared" si="6"/>
        <v>0.10816789538523164</v>
      </c>
    </row>
    <row r="101" spans="1:12">
      <c r="A101" s="160" t="s">
        <v>238</v>
      </c>
      <c r="B101" s="161">
        <v>86</v>
      </c>
      <c r="C101" s="162">
        <v>1.2883300280000001</v>
      </c>
      <c r="D101" s="163">
        <f t="shared" si="7"/>
        <v>8.6193161455999992E-2</v>
      </c>
      <c r="E101" s="163">
        <v>0.96340075138536496</v>
      </c>
      <c r="F101" s="163">
        <v>0.61373098999999998</v>
      </c>
      <c r="G101" s="66">
        <f t="shared" si="8"/>
        <v>3.6699999999999997E-2</v>
      </c>
      <c r="H101" s="66">
        <v>2.5786192999999999E-2</v>
      </c>
      <c r="I101" s="163">
        <f t="shared" si="9"/>
        <v>2.7524999999999997E-2</v>
      </c>
      <c r="J101" s="66">
        <f t="shared" si="10"/>
        <v>3.6599248614635038E-2</v>
      </c>
      <c r="K101" s="164">
        <f t="shared" si="11"/>
        <v>8.4045950829108304E-2</v>
      </c>
      <c r="L101" s="163">
        <f t="shared" si="6"/>
        <v>0.13210710135847759</v>
      </c>
    </row>
    <row r="102" spans="1:12">
      <c r="A102" s="160" t="s">
        <v>239</v>
      </c>
      <c r="B102" s="161">
        <v>30</v>
      </c>
      <c r="C102" s="162">
        <v>1.6728300780000001</v>
      </c>
      <c r="D102" s="163">
        <f t="shared" si="7"/>
        <v>0.106187164056</v>
      </c>
      <c r="E102" s="163">
        <v>0.83046460540622369</v>
      </c>
      <c r="F102" s="163">
        <v>0.44781404299999999</v>
      </c>
      <c r="G102" s="66">
        <f t="shared" si="8"/>
        <v>3.6699999999999997E-2</v>
      </c>
      <c r="H102" s="66">
        <v>1.2283565E-2</v>
      </c>
      <c r="I102" s="163">
        <f t="shared" si="9"/>
        <v>2.7524999999999997E-2</v>
      </c>
      <c r="J102" s="66">
        <f t="shared" si="10"/>
        <v>0.16953539459377631</v>
      </c>
      <c r="K102" s="164">
        <f t="shared" si="11"/>
        <v>9.2851143033165662E-2</v>
      </c>
      <c r="L102" s="163">
        <f t="shared" si="6"/>
        <v>0.14130267154202536</v>
      </c>
    </row>
    <row r="103" spans="1:12">
      <c r="A103" s="160" t="s">
        <v>240</v>
      </c>
      <c r="B103" s="161">
        <v>363</v>
      </c>
      <c r="C103" s="162">
        <v>1.196459765</v>
      </c>
      <c r="D103" s="163">
        <f t="shared" si="7"/>
        <v>8.1415907779999991E-2</v>
      </c>
      <c r="E103" s="163">
        <v>0.9118114910510623</v>
      </c>
      <c r="F103" s="163">
        <v>0.49502169000000001</v>
      </c>
      <c r="G103" s="66">
        <f t="shared" si="8"/>
        <v>3.6699999999999997E-2</v>
      </c>
      <c r="H103" s="66">
        <v>2.6009852999999999E-2</v>
      </c>
      <c r="I103" s="163">
        <f t="shared" si="9"/>
        <v>2.7524999999999997E-2</v>
      </c>
      <c r="J103" s="66">
        <f t="shared" si="10"/>
        <v>8.8188508948937705E-2</v>
      </c>
      <c r="K103" s="164">
        <f t="shared" si="11"/>
        <v>7.6663348976977075E-2</v>
      </c>
      <c r="L103" s="163">
        <f t="shared" si="6"/>
        <v>0.12439719203506971</v>
      </c>
    </row>
    <row r="104" spans="1:12">
      <c r="A104" s="160" t="s">
        <v>241</v>
      </c>
      <c r="B104" s="161">
        <v>32</v>
      </c>
      <c r="C104" s="162">
        <v>1.618693392</v>
      </c>
      <c r="D104" s="163">
        <f t="shared" si="7"/>
        <v>0.10337205638399999</v>
      </c>
      <c r="E104" s="163">
        <v>0.68040030595596523</v>
      </c>
      <c r="F104" s="163">
        <v>0.39387867799999998</v>
      </c>
      <c r="G104" s="66">
        <f t="shared" si="8"/>
        <v>3.27E-2</v>
      </c>
      <c r="H104" s="66">
        <v>9.2520965999999996E-2</v>
      </c>
      <c r="I104" s="163">
        <f t="shared" si="9"/>
        <v>2.4524999999999998E-2</v>
      </c>
      <c r="J104" s="66">
        <f t="shared" si="10"/>
        <v>0.31959969404403477</v>
      </c>
      <c r="K104" s="164">
        <f t="shared" si="11"/>
        <v>7.8172561287400827E-2</v>
      </c>
      <c r="L104" s="163">
        <f t="shared" si="6"/>
        <v>0.12597331523610356</v>
      </c>
    </row>
    <row r="105" spans="1:12">
      <c r="A105" s="160" t="s">
        <v>242</v>
      </c>
      <c r="B105" s="161">
        <v>18</v>
      </c>
      <c r="C105" s="162">
        <v>1.142928674</v>
      </c>
      <c r="D105" s="163">
        <f t="shared" si="7"/>
        <v>7.8632291048E-2</v>
      </c>
      <c r="E105" s="163">
        <v>0.43254201124752889</v>
      </c>
      <c r="F105" s="163">
        <v>0.41849140699999998</v>
      </c>
      <c r="G105" s="66">
        <f t="shared" si="8"/>
        <v>3.6699999999999997E-2</v>
      </c>
      <c r="H105" s="66">
        <v>5.8932112000000002E-2</v>
      </c>
      <c r="I105" s="163">
        <f t="shared" si="9"/>
        <v>2.7524999999999997E-2</v>
      </c>
      <c r="J105" s="66">
        <f t="shared" si="10"/>
        <v>0.56745798875247111</v>
      </c>
      <c r="K105" s="164">
        <f t="shared" si="11"/>
        <v>4.9631050459314749E-2</v>
      </c>
      <c r="L105" s="163">
        <f t="shared" si="6"/>
        <v>9.6166417228446877E-2</v>
      </c>
    </row>
    <row r="106" spans="1:12">
      <c r="A106" s="160" t="s">
        <v>243</v>
      </c>
      <c r="B106" s="161">
        <v>91</v>
      </c>
      <c r="C106" s="162">
        <v>0.89438610699999999</v>
      </c>
      <c r="D106" s="163">
        <f t="shared" si="7"/>
        <v>6.5708077563999989E-2</v>
      </c>
      <c r="E106" s="163">
        <v>0.85307830634691417</v>
      </c>
      <c r="F106" s="163">
        <v>0.46295718699999999</v>
      </c>
      <c r="G106" s="66">
        <f t="shared" si="8"/>
        <v>3.6699999999999997E-2</v>
      </c>
      <c r="H106" s="66">
        <v>4.3136855000000002E-2</v>
      </c>
      <c r="I106" s="163">
        <f t="shared" si="9"/>
        <v>2.7524999999999997E-2</v>
      </c>
      <c r="J106" s="66">
        <f t="shared" si="10"/>
        <v>0.14692169365308583</v>
      </c>
      <c r="K106" s="164">
        <f t="shared" si="11"/>
        <v>6.009815513940997E-2</v>
      </c>
      <c r="L106" s="163">
        <f t="shared" si="6"/>
        <v>0.10709758073672382</v>
      </c>
    </row>
    <row r="107" spans="1:12">
      <c r="A107" s="160" t="s">
        <v>244</v>
      </c>
      <c r="B107" s="161">
        <v>67</v>
      </c>
      <c r="C107" s="162">
        <v>1.0481614109999999</v>
      </c>
      <c r="D107" s="163">
        <f t="shared" si="7"/>
        <v>7.3704393371999993E-2</v>
      </c>
      <c r="E107" s="163">
        <v>0.55805987211386909</v>
      </c>
      <c r="F107" s="163">
        <v>0.54473346099999997</v>
      </c>
      <c r="G107" s="66">
        <f t="shared" si="8"/>
        <v>3.6699999999999997E-2</v>
      </c>
      <c r="H107" s="66">
        <v>4.1683738999999997E-2</v>
      </c>
      <c r="I107" s="163">
        <f t="shared" si="9"/>
        <v>2.7524999999999997E-2</v>
      </c>
      <c r="J107" s="66">
        <f t="shared" si="10"/>
        <v>0.44194012788613091</v>
      </c>
      <c r="K107" s="164">
        <f t="shared" si="11"/>
        <v>5.3295866359474371E-2</v>
      </c>
      <c r="L107" s="163">
        <f t="shared" si="6"/>
        <v>9.9993712651273992E-2</v>
      </c>
    </row>
    <row r="108" spans="1:12">
      <c r="A108" s="160" t="s">
        <v>245</v>
      </c>
      <c r="B108" s="161">
        <v>17</v>
      </c>
      <c r="C108" s="162">
        <v>1.6802684489999999</v>
      </c>
      <c r="D108" s="163">
        <f t="shared" si="7"/>
        <v>0.10657395934799999</v>
      </c>
      <c r="E108" s="163">
        <v>0.77785119603836006</v>
      </c>
      <c r="F108" s="163">
        <v>0.38485172299999998</v>
      </c>
      <c r="G108" s="66">
        <f t="shared" si="8"/>
        <v>3.27E-2</v>
      </c>
      <c r="H108" s="66">
        <v>0.114848199</v>
      </c>
      <c r="I108" s="163">
        <f t="shared" si="9"/>
        <v>2.4524999999999998E-2</v>
      </c>
      <c r="J108" s="66">
        <f t="shared" si="10"/>
        <v>0.22214880396163994</v>
      </c>
      <c r="K108" s="164">
        <f t="shared" si="11"/>
        <v>8.8346881162544577E-2</v>
      </c>
      <c r="L108" s="163">
        <f t="shared" si="6"/>
        <v>0.13659871333231255</v>
      </c>
    </row>
    <row r="109" spans="1:12">
      <c r="A109" s="160" t="s">
        <v>246</v>
      </c>
      <c r="B109" s="161">
        <v>18</v>
      </c>
      <c r="C109" s="162">
        <v>1.3051698169999999</v>
      </c>
      <c r="D109" s="163">
        <f t="shared" si="7"/>
        <v>8.7068830483999993E-2</v>
      </c>
      <c r="E109" s="163">
        <v>0.64836923074154851</v>
      </c>
      <c r="F109" s="163">
        <v>0.279851295</v>
      </c>
      <c r="G109" s="66">
        <f t="shared" si="8"/>
        <v>3.27E-2</v>
      </c>
      <c r="H109" s="66">
        <v>0.127586542</v>
      </c>
      <c r="I109" s="163">
        <f t="shared" si="9"/>
        <v>2.4524999999999998E-2</v>
      </c>
      <c r="J109" s="66">
        <f t="shared" si="10"/>
        <v>0.35163076925845149</v>
      </c>
      <c r="K109" s="164">
        <f t="shared" si="11"/>
        <v>6.5076495258540895E-2</v>
      </c>
      <c r="L109" s="163">
        <f t="shared" si="6"/>
        <v>0.1122966354424173</v>
      </c>
    </row>
    <row r="110" spans="1:12">
      <c r="A110" s="160" t="s">
        <v>247</v>
      </c>
      <c r="B110" s="161">
        <v>8</v>
      </c>
      <c r="C110" s="162">
        <v>2.2404253390000002</v>
      </c>
      <c r="D110" s="163">
        <f t="shared" si="7"/>
        <v>0.135702117628</v>
      </c>
      <c r="E110" s="163">
        <v>0.79216228086950802</v>
      </c>
      <c r="F110" s="163">
        <v>0.18246747199999999</v>
      </c>
      <c r="G110" s="66">
        <f t="shared" si="8"/>
        <v>2.7199999999999998E-2</v>
      </c>
      <c r="H110" s="66">
        <v>0.12240466999999999</v>
      </c>
      <c r="I110" s="163">
        <f t="shared" si="9"/>
        <v>2.0399999999999998E-2</v>
      </c>
      <c r="J110" s="66">
        <f t="shared" si="10"/>
        <v>0.20783771913049198</v>
      </c>
      <c r="K110" s="164">
        <f t="shared" si="11"/>
        <v>0.11173798848928078</v>
      </c>
      <c r="L110" s="163">
        <f t="shared" si="6"/>
        <v>0.16102686482624406</v>
      </c>
    </row>
    <row r="111" spans="1:12">
      <c r="A111" s="160" t="s">
        <v>248</v>
      </c>
      <c r="B111" s="161">
        <v>33</v>
      </c>
      <c r="C111" s="162">
        <v>1.3721746720000001</v>
      </c>
      <c r="D111" s="163">
        <f t="shared" si="7"/>
        <v>9.0553082943999996E-2</v>
      </c>
      <c r="E111" s="163">
        <v>0.63340995932894795</v>
      </c>
      <c r="F111" s="163">
        <v>0.41853845000000001</v>
      </c>
      <c r="G111" s="66">
        <f t="shared" si="8"/>
        <v>3.6699999999999997E-2</v>
      </c>
      <c r="H111" s="66">
        <v>0.16734843399999999</v>
      </c>
      <c r="I111" s="163">
        <f t="shared" si="9"/>
        <v>2.7524999999999997E-2</v>
      </c>
      <c r="J111" s="66">
        <f t="shared" si="10"/>
        <v>0.36659004067105205</v>
      </c>
      <c r="K111" s="164">
        <f t="shared" si="11"/>
        <v>6.7447615454140589E-2</v>
      </c>
      <c r="L111" s="163">
        <f t="shared" si="6"/>
        <v>0.11477287919348678</v>
      </c>
    </row>
    <row r="112" spans="1:12">
      <c r="A112" s="160" t="s">
        <v>249</v>
      </c>
      <c r="B112" s="161">
        <v>16</v>
      </c>
      <c r="C112" s="162">
        <v>0.28392773900000001</v>
      </c>
      <c r="D112" s="163">
        <f t="shared" si="7"/>
        <v>3.3964242428000002E-2</v>
      </c>
      <c r="E112" s="163">
        <v>0.59899855884854791</v>
      </c>
      <c r="F112" s="163">
        <v>0.13112592200000001</v>
      </c>
      <c r="G112" s="66">
        <f t="shared" si="8"/>
        <v>2.7199999999999998E-2</v>
      </c>
      <c r="H112" s="66">
        <v>0.13445575600000001</v>
      </c>
      <c r="I112" s="163">
        <f t="shared" si="9"/>
        <v>2.0399999999999998E-2</v>
      </c>
      <c r="J112" s="66">
        <f t="shared" si="10"/>
        <v>0.40100144115145209</v>
      </c>
      <c r="K112" s="164">
        <f t="shared" si="11"/>
        <v>2.8524961666244329E-2</v>
      </c>
      <c r="L112" s="163">
        <f t="shared" si="6"/>
        <v>7.4124590508590327E-2</v>
      </c>
    </row>
    <row r="113" spans="1:12">
      <c r="A113" s="160" t="s">
        <v>250</v>
      </c>
      <c r="B113" s="161">
        <v>17</v>
      </c>
      <c r="C113" s="162">
        <v>0.68451251499999999</v>
      </c>
      <c r="D113" s="163">
        <f t="shared" si="7"/>
        <v>5.4794650779999995E-2</v>
      </c>
      <c r="E113" s="163">
        <v>0.73662132623500454</v>
      </c>
      <c r="F113" s="163">
        <v>0.17880521899999999</v>
      </c>
      <c r="G113" s="66">
        <f t="shared" si="8"/>
        <v>2.7199999999999998E-2</v>
      </c>
      <c r="H113" s="66">
        <v>0.10013337999999999</v>
      </c>
      <c r="I113" s="163">
        <f t="shared" si="9"/>
        <v>2.0399999999999998E-2</v>
      </c>
      <c r="J113" s="66">
        <f t="shared" si="10"/>
        <v>0.26337867376499546</v>
      </c>
      <c r="K113" s="164">
        <f t="shared" si="11"/>
        <v>4.5735833272953427E-2</v>
      </c>
      <c r="L113" s="163">
        <f t="shared" si="6"/>
        <v>9.209850568406952E-2</v>
      </c>
    </row>
    <row r="114" spans="1:12" s="1" customFormat="1">
      <c r="A114" s="165" t="s">
        <v>251</v>
      </c>
      <c r="B114" s="166">
        <v>7053</v>
      </c>
      <c r="C114" s="167">
        <v>1.1288402320474928</v>
      </c>
      <c r="D114" s="168">
        <f t="shared" si="7"/>
        <v>7.7899692066469628E-2</v>
      </c>
      <c r="E114" s="168">
        <v>0.63289498381062315</v>
      </c>
      <c r="F114" s="168">
        <v>0.42356417983731631</v>
      </c>
      <c r="G114" s="72">
        <f t="shared" si="8"/>
        <v>3.6699999999999997E-2</v>
      </c>
      <c r="H114" s="72">
        <v>7.3204225418946681E-2</v>
      </c>
      <c r="I114" s="168">
        <f t="shared" si="9"/>
        <v>2.7524999999999997E-2</v>
      </c>
      <c r="J114" s="72">
        <f t="shared" si="10"/>
        <v>0.36710501618937685</v>
      </c>
      <c r="K114" s="169">
        <f t="shared" si="11"/>
        <v>5.9406889919873418E-2</v>
      </c>
      <c r="L114" s="170">
        <f t="shared" si="6"/>
        <v>0.10637566829070533</v>
      </c>
    </row>
    <row r="115" spans="1:12" s="1" customFormat="1">
      <c r="A115" s="171" t="s">
        <v>252</v>
      </c>
      <c r="B115" s="172">
        <v>5878</v>
      </c>
      <c r="C115" s="173">
        <v>1.2095280307482079</v>
      </c>
      <c r="D115" s="174">
        <f t="shared" si="7"/>
        <v>8.209545759890681E-2</v>
      </c>
      <c r="E115" s="174">
        <v>0.75985201049992457</v>
      </c>
      <c r="F115" s="174">
        <v>0.46406094208005988</v>
      </c>
      <c r="G115" s="80">
        <f t="shared" si="8"/>
        <v>3.6699999999999997E-2</v>
      </c>
      <c r="H115" s="80">
        <v>5.8130815794799416E-2</v>
      </c>
      <c r="I115" s="174">
        <f t="shared" si="9"/>
        <v>2.7524999999999997E-2</v>
      </c>
      <c r="J115" s="80">
        <f t="shared" si="10"/>
        <v>0.24014798950007543</v>
      </c>
      <c r="K115" s="175">
        <f t="shared" si="11"/>
        <v>6.8990471920430216E-2</v>
      </c>
      <c r="L115" s="170">
        <f t="shared" si="6"/>
        <v>0.11638413816320803</v>
      </c>
    </row>
  </sheetData>
  <mergeCells count="9">
    <mergeCell ref="B7:G7"/>
    <mergeCell ref="B1:G1"/>
    <mergeCell ref="B2:G2"/>
    <mergeCell ref="I2:I6"/>
    <mergeCell ref="B3:E3"/>
    <mergeCell ref="F3:G3"/>
    <mergeCell ref="B4:G4"/>
    <mergeCell ref="B5:G5"/>
    <mergeCell ref="B6:G6"/>
  </mergeCells>
  <hyperlinks>
    <hyperlink ref="B2" r:id="rId1" xr:uid="{00000000-0004-0000-0700-000000000000}"/>
    <hyperlink ref="B4" r:id="rId2" xr:uid="{00000000-0004-0000-0700-000001000000}"/>
    <hyperlink ref="B5" r:id="rId3" xr:uid="{00000000-0004-0000-0700-000002000000}"/>
    <hyperlink ref="B6" r:id="rId4" xr:uid="{00000000-0004-0000-0700-000003000000}"/>
    <hyperlink ref="B7" r:id="rId5" xr:uid="{00000000-0004-0000-0700-000004000000}"/>
    <hyperlink ref="I2:I6" r:id="rId6" display="YouTube Video Guide" xr:uid="{00000000-0004-0000-0700-000005000000}"/>
  </hyperlinks>
  <pageMargins left="0.511811024" right="0.511811024" top="0.78740157499999996" bottom="0.78740157499999996" header="0.31496062000000002" footer="0.31496062000000002"/>
  <tableParts count="1">
    <tablePart r:id="rId7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Premissas do Valuation</vt:lpstr>
      <vt:lpstr>Valor da Empresa</vt:lpstr>
      <vt:lpstr>Projeções</vt:lpstr>
      <vt:lpstr>Análise de Indicadores</vt:lpstr>
      <vt:lpstr>Custo de Capital</vt:lpstr>
      <vt:lpstr>Beta Desalavancado</vt:lpstr>
      <vt:lpstr>Benchmark CAPM</vt:lpstr>
      <vt:lpstr>Benchmark 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 -</dc:creator>
  <cp:lastModifiedBy>alexa</cp:lastModifiedBy>
  <cp:lastPrinted>2020-03-02T22:30:05Z</cp:lastPrinted>
  <dcterms:created xsi:type="dcterms:W3CDTF">2017-08-08T17:32:42Z</dcterms:created>
  <dcterms:modified xsi:type="dcterms:W3CDTF">2020-07-21T18:07:38Z</dcterms:modified>
</cp:coreProperties>
</file>